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5360" windowHeight="7035" tabRatio="919" activeTab="7"/>
  </bookViews>
  <sheets>
    <sheet name="C1 Sum" sheetId="2" r:id="rId1"/>
    <sheet name="C4 Fin Perf" sheetId="1" r:id="rId2"/>
    <sheet name="Graphics" sheetId="17" r:id="rId3"/>
    <sheet name="C5 - CAPEX" sheetId="7" r:id="rId4"/>
    <sheet name="C6 - FIN POS" sheetId="6" r:id="rId5"/>
    <sheet name="C7 - CASHFLOW" sheetId="3" r:id="rId6"/>
    <sheet name="Variance Analysis" sheetId="8" r:id="rId7"/>
    <sheet name="Indicators" sheetId="9" r:id="rId8"/>
    <sheet name="Debtors" sheetId="10" r:id="rId9"/>
    <sheet name="Creditors" sheetId="11" r:id="rId10"/>
    <sheet name="Investments" sheetId="18" r:id="rId11"/>
    <sheet name="Grants Received" sheetId="12" r:id="rId12"/>
    <sheet name="Grants Expenditure - dnt print" sheetId="13" r:id="rId13"/>
    <sheet name="Capex Trend" sheetId="15" r:id="rId14"/>
  </sheets>
  <externalReferences>
    <externalReference r:id="rId15"/>
  </externalReferences>
  <definedNames>
    <definedName name="desc">'[1]Template names'!$B$27</definedName>
    <definedName name="Head1">'[1]Template names'!$B$2</definedName>
    <definedName name="Head2">'[1]Template names'!$B$3</definedName>
    <definedName name="Head57">'[1]Template names'!$B$61</definedName>
    <definedName name="muni">'[1]Template names'!$B$73</definedName>
    <definedName name="_xlnm.Print_Area" localSheetId="0">'C1 Sum'!$A$1:$L$53</definedName>
    <definedName name="_xlnm.Print_Area" localSheetId="1">'C4 Fin Perf'!$A$1:$T$49</definedName>
    <definedName name="_xlnm.Print_Area" localSheetId="3">'C5 - CAPEX'!$A$1:$M$53</definedName>
    <definedName name="_xlnm.Print_Area" localSheetId="4">'C6 - FIN POS'!$A$1:$G$48</definedName>
    <definedName name="_xlnm.Print_Area" localSheetId="5">'C7 - CASHFLOW'!$A$1:$L$41</definedName>
    <definedName name="_xlnm.Print_Area" localSheetId="13">'Capex Trend'!$A$1:$J$18</definedName>
    <definedName name="_xlnm.Print_Area" localSheetId="9">Creditors!$A$1:$K$19</definedName>
    <definedName name="_xlnm.Print_Area" localSheetId="8">Debtors!$A$1:$N$26</definedName>
    <definedName name="_xlnm.Print_Area" localSheetId="12">'Grants Expenditure - dnt print'!$A$1:$K$49</definedName>
    <definedName name="_xlnm.Print_Area" localSheetId="11">'Grants Received'!$A$1:$J$20</definedName>
    <definedName name="_xlnm.Print_Area" localSheetId="2">Graphics!$A$2:$H$114</definedName>
    <definedName name="_xlnm.Print_Area" localSheetId="7">Indicators!$A$1:$H$32</definedName>
    <definedName name="_xlnm.Print_Area" localSheetId="10">Investments!$A$1:$J$12</definedName>
    <definedName name="_xlnm.Print_Area" localSheetId="6">'Variance Analysis'!$A$1:$E$40</definedName>
    <definedName name="S71I">'[1]Template names'!$B$86</definedName>
    <definedName name="S71J">'[1]Template names'!$B$87</definedName>
    <definedName name="S71K">'[1]Template names'!$B$88</definedName>
  </definedNames>
  <calcPr calcId="145621"/>
</workbook>
</file>

<file path=xl/calcChain.xml><?xml version="1.0" encoding="utf-8"?>
<calcChain xmlns="http://schemas.openxmlformats.org/spreadsheetml/2006/main">
  <c r="P20" i="1" l="1"/>
  <c r="R19" i="7" l="1"/>
  <c r="I7" i="3" l="1"/>
  <c r="H7" i="3"/>
  <c r="H27" i="3"/>
  <c r="H16" i="3"/>
  <c r="H15" i="3"/>
  <c r="I17" i="7" l="1"/>
  <c r="I16" i="7"/>
  <c r="I15" i="7"/>
  <c r="I14" i="7"/>
  <c r="I13" i="7"/>
  <c r="I12" i="7"/>
  <c r="I11" i="7"/>
  <c r="I10" i="7"/>
  <c r="I9" i="7"/>
  <c r="I8" i="7"/>
  <c r="I7" i="7"/>
  <c r="I6" i="7"/>
  <c r="I5" i="7"/>
  <c r="I23" i="7"/>
  <c r="I41" i="7"/>
  <c r="I40" i="7"/>
  <c r="I39" i="7"/>
  <c r="I38" i="7"/>
  <c r="I37" i="7"/>
  <c r="I35" i="7"/>
  <c r="I34" i="7"/>
  <c r="I33" i="7"/>
  <c r="I31" i="7"/>
  <c r="I30" i="7"/>
  <c r="I29" i="7"/>
  <c r="I28" i="7"/>
  <c r="I27" i="7"/>
  <c r="I24" i="7"/>
  <c r="J24" i="7"/>
  <c r="J28" i="7"/>
  <c r="K24" i="7" l="1"/>
  <c r="G17" i="12" l="1"/>
  <c r="G16" i="12"/>
  <c r="G10" i="12"/>
  <c r="G9" i="12"/>
  <c r="G8" i="12"/>
  <c r="K35" i="1" l="1"/>
  <c r="J35" i="1" l="1"/>
  <c r="O26" i="1" l="1"/>
  <c r="H35" i="1"/>
  <c r="G23" i="1" l="1"/>
  <c r="E18" i="12" l="1"/>
  <c r="E15" i="12"/>
  <c r="E12" i="12"/>
  <c r="E7" i="12"/>
  <c r="G15" i="11"/>
  <c r="E20" i="12" l="1"/>
  <c r="G18" i="3" l="1"/>
  <c r="F22" i="7" l="1"/>
  <c r="D22" i="7"/>
  <c r="E52" i="7" l="1"/>
  <c r="E51" i="7"/>
  <c r="E50" i="7"/>
  <c r="E48" i="7"/>
  <c r="E47" i="7"/>
  <c r="E46" i="7"/>
  <c r="E45" i="7"/>
  <c r="E41" i="7"/>
  <c r="E40" i="7"/>
  <c r="E39" i="7"/>
  <c r="E38" i="7"/>
  <c r="E37" i="7"/>
  <c r="E36" i="7" s="1"/>
  <c r="E35" i="7"/>
  <c r="E34" i="7"/>
  <c r="E33" i="7"/>
  <c r="E32" i="7" s="1"/>
  <c r="E31" i="7"/>
  <c r="E30" i="7"/>
  <c r="E29" i="7"/>
  <c r="E28" i="7"/>
  <c r="E27" i="7"/>
  <c r="E26" i="7" s="1"/>
  <c r="E25" i="7"/>
  <c r="E24" i="7"/>
  <c r="E23" i="7"/>
  <c r="E17" i="7"/>
  <c r="E16" i="7"/>
  <c r="E15" i="7"/>
  <c r="E14" i="7"/>
  <c r="E13" i="7"/>
  <c r="E12" i="7"/>
  <c r="E11" i="7"/>
  <c r="E10" i="7"/>
  <c r="E9" i="7"/>
  <c r="E8" i="7"/>
  <c r="E7" i="7"/>
  <c r="E6" i="7"/>
  <c r="E18" i="7" s="1"/>
  <c r="E19" i="7" s="1"/>
  <c r="K33" i="10"/>
  <c r="E42" i="7" l="1"/>
  <c r="E22" i="7"/>
  <c r="E49" i="7"/>
  <c r="E53" i="7" s="1"/>
  <c r="L36" i="1"/>
  <c r="L35" i="1"/>
  <c r="L34" i="1"/>
  <c r="L33" i="1"/>
  <c r="L32" i="1"/>
  <c r="L31" i="1"/>
  <c r="L30" i="1"/>
  <c r="L29" i="1"/>
  <c r="L28" i="1"/>
  <c r="L27" i="1"/>
  <c r="L26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23" i="1" s="1"/>
  <c r="I36" i="1"/>
  <c r="I35" i="1"/>
  <c r="I34" i="1"/>
  <c r="I33" i="1"/>
  <c r="I32" i="1"/>
  <c r="I31" i="1"/>
  <c r="I30" i="1"/>
  <c r="I29" i="1"/>
  <c r="I28" i="1"/>
  <c r="I27" i="1"/>
  <c r="I26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F6" i="1"/>
  <c r="F36" i="1"/>
  <c r="F35" i="1"/>
  <c r="F34" i="1"/>
  <c r="F33" i="1"/>
  <c r="F32" i="1"/>
  <c r="F31" i="1"/>
  <c r="F30" i="1"/>
  <c r="F29" i="1"/>
  <c r="F28" i="1"/>
  <c r="F27" i="1"/>
  <c r="F26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E37" i="1"/>
  <c r="E23" i="1"/>
  <c r="N23" i="1"/>
  <c r="M23" i="1"/>
  <c r="K23" i="1"/>
  <c r="J23" i="1"/>
  <c r="H23" i="1"/>
  <c r="F23" i="1" l="1"/>
  <c r="F39" i="1" s="1"/>
  <c r="F43" i="1" s="1"/>
  <c r="F45" i="1" s="1"/>
  <c r="F47" i="1" s="1"/>
  <c r="F49" i="1" s="1"/>
  <c r="F37" i="1"/>
  <c r="I23" i="1"/>
  <c r="E39" i="1"/>
  <c r="E43" i="1" s="1"/>
  <c r="E45" i="1" s="1"/>
  <c r="E47" i="1" s="1"/>
  <c r="E49" i="1" s="1"/>
  <c r="J15" i="11"/>
  <c r="I15" i="11"/>
  <c r="H15" i="11"/>
  <c r="F15" i="11"/>
  <c r="L37" i="1" l="1"/>
  <c r="L39" i="1" s="1"/>
  <c r="L43" i="1" s="1"/>
  <c r="L45" i="1" s="1"/>
  <c r="L47" i="1" s="1"/>
  <c r="L49" i="1" s="1"/>
  <c r="G18" i="12" l="1"/>
  <c r="F18" i="12"/>
  <c r="D18" i="12"/>
  <c r="D12" i="12"/>
  <c r="L15" i="11"/>
  <c r="K17" i="11" s="1"/>
  <c r="L40" i="3"/>
  <c r="I16" i="3"/>
  <c r="I15" i="3"/>
  <c r="I13" i="3"/>
  <c r="I12" i="3"/>
  <c r="I11" i="3"/>
  <c r="I10" i="3"/>
  <c r="I9" i="3"/>
  <c r="I8" i="3"/>
  <c r="H13" i="3"/>
  <c r="H12" i="3"/>
  <c r="J12" i="3" s="1"/>
  <c r="K12" i="3" s="1"/>
  <c r="H11" i="3"/>
  <c r="J11" i="3" s="1"/>
  <c r="K11" i="3" s="1"/>
  <c r="H9" i="3"/>
  <c r="H8" i="3"/>
  <c r="J8" i="3" s="1"/>
  <c r="K8" i="3" s="1"/>
  <c r="J9" i="3" l="1"/>
  <c r="K9" i="3" s="1"/>
  <c r="G12" i="12"/>
  <c r="H17" i="12"/>
  <c r="I17" i="12" s="1"/>
  <c r="G7" i="12"/>
  <c r="N21" i="10" l="1"/>
  <c r="M21" i="10"/>
  <c r="J21" i="10"/>
  <c r="I21" i="10"/>
  <c r="H21" i="10"/>
  <c r="G21" i="10"/>
  <c r="F21" i="10"/>
  <c r="E21" i="10"/>
  <c r="D21" i="10"/>
  <c r="C21" i="10"/>
  <c r="L20" i="10"/>
  <c r="K20" i="10"/>
  <c r="L19" i="10"/>
  <c r="K19" i="10"/>
  <c r="L18" i="10"/>
  <c r="K18" i="10"/>
  <c r="L17" i="10"/>
  <c r="K17" i="10"/>
  <c r="K21" i="10" s="1"/>
  <c r="L15" i="10"/>
  <c r="K15" i="10"/>
  <c r="K25" i="10" s="1"/>
  <c r="N14" i="10"/>
  <c r="M14" i="10"/>
  <c r="J14" i="10"/>
  <c r="I14" i="10"/>
  <c r="G14" i="10"/>
  <c r="F14" i="10"/>
  <c r="E14" i="10"/>
  <c r="D14" i="10"/>
  <c r="C14" i="10"/>
  <c r="L13" i="10"/>
  <c r="K13" i="10"/>
  <c r="L12" i="10"/>
  <c r="K12" i="10"/>
  <c r="L11" i="10"/>
  <c r="K11" i="10"/>
  <c r="L10" i="10"/>
  <c r="K10" i="10"/>
  <c r="L9" i="10"/>
  <c r="K9" i="10"/>
  <c r="L8" i="10"/>
  <c r="K8" i="10"/>
  <c r="L7" i="10"/>
  <c r="K7" i="10"/>
  <c r="L6" i="10"/>
  <c r="K6" i="10"/>
  <c r="L5" i="10"/>
  <c r="K5" i="10"/>
  <c r="A2" i="10"/>
  <c r="K14" i="10" l="1"/>
  <c r="K23" i="10" s="1"/>
  <c r="L21" i="10"/>
  <c r="L14" i="10"/>
  <c r="L52" i="2" l="1"/>
  <c r="L51" i="2"/>
  <c r="L50" i="2"/>
  <c r="T36" i="1"/>
  <c r="T34" i="1"/>
  <c r="T22" i="1"/>
  <c r="T19" i="1"/>
  <c r="T16" i="1"/>
  <c r="T12" i="1"/>
  <c r="T7" i="1"/>
  <c r="T23" i="1"/>
  <c r="M52" i="7"/>
  <c r="M51" i="7"/>
  <c r="M50" i="7"/>
  <c r="M48" i="7"/>
  <c r="M47" i="7"/>
  <c r="M46" i="7"/>
  <c r="M45" i="7"/>
  <c r="M44" i="7"/>
  <c r="M43" i="7"/>
  <c r="M41" i="7"/>
  <c r="M40" i="7"/>
  <c r="M39" i="7"/>
  <c r="M38" i="7"/>
  <c r="M37" i="7"/>
  <c r="M35" i="7"/>
  <c r="M34" i="7"/>
  <c r="M33" i="7"/>
  <c r="M31" i="7"/>
  <c r="M30" i="7"/>
  <c r="M29" i="7"/>
  <c r="M28" i="7"/>
  <c r="M27" i="7"/>
  <c r="M26" i="7" s="1"/>
  <c r="M25" i="7"/>
  <c r="M24" i="7"/>
  <c r="M23" i="7"/>
  <c r="M17" i="7"/>
  <c r="M16" i="7"/>
  <c r="M15" i="7"/>
  <c r="M14" i="7"/>
  <c r="M13" i="7"/>
  <c r="M12" i="7"/>
  <c r="M11" i="7"/>
  <c r="M10" i="7"/>
  <c r="M9" i="7"/>
  <c r="M8" i="7"/>
  <c r="M7" i="7"/>
  <c r="M6" i="7"/>
  <c r="J45" i="7"/>
  <c r="J38" i="7"/>
  <c r="J37" i="7"/>
  <c r="J34" i="7"/>
  <c r="J33" i="7"/>
  <c r="J17" i="7"/>
  <c r="J16" i="7"/>
  <c r="J15" i="7"/>
  <c r="J14" i="7"/>
  <c r="J13" i="7"/>
  <c r="J12" i="7"/>
  <c r="J11" i="7"/>
  <c r="J10" i="7"/>
  <c r="J9" i="7"/>
  <c r="J8" i="7"/>
  <c r="G48" i="6"/>
  <c r="G46" i="6"/>
  <c r="G39" i="6"/>
  <c r="G38" i="6"/>
  <c r="G40" i="6" s="1"/>
  <c r="G41" i="6" s="1"/>
  <c r="G34" i="6"/>
  <c r="G33" i="6"/>
  <c r="G32" i="6"/>
  <c r="G31" i="6"/>
  <c r="G30" i="6"/>
  <c r="G35" i="6" s="1"/>
  <c r="G24" i="6"/>
  <c r="G23" i="6"/>
  <c r="G22" i="6"/>
  <c r="G21" i="6"/>
  <c r="G20" i="6"/>
  <c r="G19" i="6"/>
  <c r="G18" i="6"/>
  <c r="G17" i="6"/>
  <c r="G16" i="6"/>
  <c r="G25" i="6" s="1"/>
  <c r="G12" i="6"/>
  <c r="G11" i="6"/>
  <c r="G10" i="6"/>
  <c r="G9" i="6"/>
  <c r="G8" i="6"/>
  <c r="G7" i="6"/>
  <c r="G13" i="6" s="1"/>
  <c r="L17" i="3"/>
  <c r="L14" i="3"/>
  <c r="L13" i="3"/>
  <c r="I27" i="3"/>
  <c r="I17" i="3"/>
  <c r="I14" i="3"/>
  <c r="K35" i="13"/>
  <c r="K34" i="13"/>
  <c r="K33" i="13"/>
  <c r="K32" i="13"/>
  <c r="J10" i="12"/>
  <c r="J9" i="12"/>
  <c r="J8" i="12"/>
  <c r="J17" i="12"/>
  <c r="J16" i="12"/>
  <c r="J18" i="12" s="1"/>
  <c r="H33" i="13"/>
  <c r="H32" i="13"/>
  <c r="H14" i="13"/>
  <c r="H13" i="13"/>
  <c r="H12" i="13"/>
  <c r="H11" i="13"/>
  <c r="H10" i="13"/>
  <c r="H9" i="13"/>
  <c r="G10" i="13"/>
  <c r="G9" i="13"/>
  <c r="G26" i="6" l="1"/>
  <c r="J12" i="12"/>
  <c r="J7" i="12"/>
  <c r="G43" i="6"/>
  <c r="G32" i="13"/>
  <c r="G33" i="13"/>
  <c r="G15" i="13" l="1"/>
  <c r="G13" i="13"/>
  <c r="G11" i="13"/>
  <c r="F12" i="12" l="1"/>
  <c r="F7" i="12"/>
  <c r="P14" i="1"/>
  <c r="F44" i="13" l="1"/>
  <c r="G7" i="15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6" i="15"/>
  <c r="F17" i="15"/>
  <c r="F6" i="15"/>
  <c r="H36" i="7"/>
  <c r="J17" i="15" l="1"/>
  <c r="F7" i="15"/>
  <c r="H17" i="15"/>
  <c r="I17" i="15" s="1"/>
  <c r="H6" i="15"/>
  <c r="I6" i="15" s="1"/>
  <c r="J37" i="1"/>
  <c r="F8" i="15" l="1"/>
  <c r="H7" i="15"/>
  <c r="I7" i="15" s="1"/>
  <c r="H37" i="1"/>
  <c r="F9" i="15" l="1"/>
  <c r="H8" i="15"/>
  <c r="I8" i="15" s="1"/>
  <c r="F10" i="15" l="1"/>
  <c r="H9" i="15"/>
  <c r="I9" i="15" s="1"/>
  <c r="J52" i="2"/>
  <c r="J50" i="2"/>
  <c r="K50" i="2" s="1"/>
  <c r="E17" i="2"/>
  <c r="L17" i="2" s="1"/>
  <c r="E18" i="2"/>
  <c r="L18" i="2" s="1"/>
  <c r="E16" i="2"/>
  <c r="L16" i="2" s="1"/>
  <c r="E15" i="2"/>
  <c r="L15" i="2" s="1"/>
  <c r="E14" i="2"/>
  <c r="L14" i="2" s="1"/>
  <c r="E13" i="2"/>
  <c r="L13" i="2" s="1"/>
  <c r="E12" i="2"/>
  <c r="L12" i="2" s="1"/>
  <c r="E10" i="2"/>
  <c r="L10" i="2" s="1"/>
  <c r="E9" i="2"/>
  <c r="L9" i="2" s="1"/>
  <c r="E8" i="2"/>
  <c r="L8" i="2" s="1"/>
  <c r="E7" i="2"/>
  <c r="L7" i="2" s="1"/>
  <c r="E6" i="2"/>
  <c r="L6" i="2" s="1"/>
  <c r="F11" i="15" l="1"/>
  <c r="H10" i="15"/>
  <c r="I10" i="15" s="1"/>
  <c r="F12" i="15" l="1"/>
  <c r="H11" i="15"/>
  <c r="I11" i="15" s="1"/>
  <c r="J29" i="7"/>
  <c r="J30" i="7"/>
  <c r="J31" i="7"/>
  <c r="J52" i="7"/>
  <c r="J48" i="7"/>
  <c r="J47" i="7"/>
  <c r="J46" i="7"/>
  <c r="J40" i="7"/>
  <c r="J39" i="7"/>
  <c r="J35" i="7"/>
  <c r="H12" i="15" l="1"/>
  <c r="I12" i="15" s="1"/>
  <c r="F13" i="15"/>
  <c r="H37" i="13"/>
  <c r="H36" i="13"/>
  <c r="H35" i="13"/>
  <c r="H34" i="13"/>
  <c r="H15" i="13"/>
  <c r="G7" i="18"/>
  <c r="G6" i="18"/>
  <c r="F14" i="15" l="1"/>
  <c r="F15" i="15" s="1"/>
  <c r="H13" i="15"/>
  <c r="I13" i="15" s="1"/>
  <c r="G18" i="7"/>
  <c r="G19" i="7" s="1"/>
  <c r="H15" i="15" l="1"/>
  <c r="I15" i="15" s="1"/>
  <c r="F16" i="15"/>
  <c r="H14" i="15"/>
  <c r="I14" i="15" s="1"/>
  <c r="H16" i="15" l="1"/>
  <c r="I16" i="15" s="1"/>
  <c r="P26" i="1"/>
  <c r="P27" i="1" l="1"/>
  <c r="P28" i="1"/>
  <c r="P29" i="1"/>
  <c r="P30" i="1"/>
  <c r="P31" i="1"/>
  <c r="P32" i="1"/>
  <c r="P33" i="1"/>
  <c r="P34" i="1"/>
  <c r="P35" i="1"/>
  <c r="P36" i="1"/>
  <c r="O27" i="1"/>
  <c r="O28" i="1"/>
  <c r="O29" i="1"/>
  <c r="O30" i="1"/>
  <c r="O31" i="1"/>
  <c r="O32" i="1"/>
  <c r="O33" i="1"/>
  <c r="O34" i="1"/>
  <c r="O35" i="1"/>
  <c r="O36" i="1"/>
  <c r="P21" i="1"/>
  <c r="P17" i="1"/>
  <c r="P7" i="1"/>
  <c r="P8" i="1"/>
  <c r="P9" i="1"/>
  <c r="P10" i="1"/>
  <c r="P11" i="1"/>
  <c r="P12" i="1"/>
  <c r="P13" i="1"/>
  <c r="P15" i="1"/>
  <c r="P16" i="1"/>
  <c r="P18" i="1"/>
  <c r="P19" i="1"/>
  <c r="P22" i="1"/>
  <c r="P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1" i="1"/>
  <c r="O22" i="1"/>
  <c r="O6" i="1"/>
  <c r="P23" i="1" l="1"/>
  <c r="O23" i="1"/>
  <c r="P37" i="1"/>
  <c r="J25" i="7"/>
  <c r="J23" i="7"/>
  <c r="J27" i="7"/>
  <c r="J51" i="7"/>
  <c r="J50" i="7"/>
  <c r="F26" i="7" l="1"/>
  <c r="G26" i="7"/>
  <c r="H26" i="7"/>
  <c r="F32" i="7" l="1"/>
  <c r="H32" i="7"/>
  <c r="I33" i="2" l="1"/>
  <c r="C28" i="2" l="1"/>
  <c r="G37" i="1" l="1"/>
  <c r="Q20" i="1"/>
  <c r="R20" i="1" s="1"/>
  <c r="Q17" i="1"/>
  <c r="R17" i="1" s="1"/>
  <c r="Q13" i="1"/>
  <c r="R13" i="1" s="1"/>
  <c r="Q8" i="1"/>
  <c r="R8" i="1" s="1"/>
  <c r="Q33" i="1"/>
  <c r="R33" i="1" s="1"/>
  <c r="Q16" i="1" l="1"/>
  <c r="R16" i="1" s="1"/>
  <c r="Q21" i="1"/>
  <c r="Q9" i="1"/>
  <c r="R9" i="1" s="1"/>
  <c r="S9" i="1" s="1"/>
  <c r="Q28" i="1"/>
  <c r="R28" i="1" s="1"/>
  <c r="Q32" i="1"/>
  <c r="R32" i="1" s="1"/>
  <c r="Q36" i="1"/>
  <c r="R36" i="1" s="1"/>
  <c r="Q6" i="1"/>
  <c r="Q10" i="1"/>
  <c r="Q12" i="1"/>
  <c r="R12" i="1" s="1"/>
  <c r="E19" i="2"/>
  <c r="Q26" i="1"/>
  <c r="R26" i="1" s="1"/>
  <c r="G39" i="1"/>
  <c r="G43" i="1" s="1"/>
  <c r="G45" i="1" s="1"/>
  <c r="G47" i="1" s="1"/>
  <c r="G49" i="1" s="1"/>
  <c r="Q18" i="1"/>
  <c r="Q22" i="1"/>
  <c r="R22" i="1" s="1"/>
  <c r="Q7" i="1"/>
  <c r="R7" i="1" s="1"/>
  <c r="Q11" i="1"/>
  <c r="R11" i="1" s="1"/>
  <c r="Q15" i="1"/>
  <c r="R15" i="1" s="1"/>
  <c r="S15" i="1" s="1"/>
  <c r="Q19" i="1"/>
  <c r="R19" i="1" s="1"/>
  <c r="S13" i="1"/>
  <c r="S17" i="1"/>
  <c r="Q27" i="1"/>
  <c r="R27" i="1" s="1"/>
  <c r="Q29" i="1"/>
  <c r="R29" i="1" s="1"/>
  <c r="Q31" i="1"/>
  <c r="R31" i="1" s="1"/>
  <c r="Q35" i="1"/>
  <c r="R35" i="1" s="1"/>
  <c r="S8" i="1"/>
  <c r="Q14" i="1"/>
  <c r="R14" i="1" s="1"/>
  <c r="Q30" i="1"/>
  <c r="R30" i="1" s="1"/>
  <c r="Q34" i="1"/>
  <c r="R34" i="1" s="1"/>
  <c r="J39" i="1"/>
  <c r="J43" i="1" s="1"/>
  <c r="J45" i="1" s="1"/>
  <c r="J47" i="1" s="1"/>
  <c r="J49" i="1" s="1"/>
  <c r="I37" i="1"/>
  <c r="I39" i="1" s="1"/>
  <c r="H39" i="1"/>
  <c r="H43" i="1" s="1"/>
  <c r="H45" i="1" s="1"/>
  <c r="H47" i="1" s="1"/>
  <c r="H49" i="1" s="1"/>
  <c r="Q23" i="1" l="1"/>
  <c r="R23" i="1" s="1"/>
  <c r="S23" i="1" s="1"/>
  <c r="R6" i="1"/>
  <c r="S6" i="1" s="1"/>
  <c r="R21" i="1"/>
  <c r="S21" i="1" s="1"/>
  <c r="R18" i="1"/>
  <c r="S18" i="1" s="1"/>
  <c r="R10" i="1"/>
  <c r="S10" i="1" s="1"/>
  <c r="S11" i="1"/>
  <c r="S14" i="1"/>
  <c r="S26" i="1"/>
  <c r="I43" i="1"/>
  <c r="I45" i="1" s="1"/>
  <c r="I47" i="1" s="1"/>
  <c r="I49" i="1" s="1"/>
  <c r="Q37" i="1"/>
  <c r="S20" i="1"/>
  <c r="F18" i="7"/>
  <c r="F19" i="7" s="1"/>
  <c r="Q39" i="1" l="1"/>
  <c r="Q43" i="1" s="1"/>
  <c r="Q45" i="1" s="1"/>
  <c r="Q47" i="1" s="1"/>
  <c r="Q49" i="1" s="1"/>
  <c r="G32" i="7" l="1"/>
  <c r="G36" i="7"/>
  <c r="E49" i="13" l="1"/>
  <c r="K38" i="13"/>
  <c r="H38" i="13"/>
  <c r="G38" i="13"/>
  <c r="F38" i="13"/>
  <c r="E38" i="13"/>
  <c r="D38" i="13"/>
  <c r="K31" i="13"/>
  <c r="K47" i="13" s="1"/>
  <c r="I37" i="13"/>
  <c r="J37" i="13" s="1"/>
  <c r="I36" i="13"/>
  <c r="J36" i="13" s="1"/>
  <c r="I35" i="13"/>
  <c r="J35" i="13" s="1"/>
  <c r="I34" i="13"/>
  <c r="J34" i="13" s="1"/>
  <c r="I33" i="13"/>
  <c r="J33" i="13" s="1"/>
  <c r="I32" i="13"/>
  <c r="J32" i="13" s="1"/>
  <c r="H31" i="13"/>
  <c r="H47" i="13" s="1"/>
  <c r="G31" i="13"/>
  <c r="G47" i="13" s="1"/>
  <c r="F31" i="13"/>
  <c r="F47" i="13" s="1"/>
  <c r="D31" i="13"/>
  <c r="K15" i="13"/>
  <c r="K14" i="13"/>
  <c r="K13" i="13"/>
  <c r="K12" i="13"/>
  <c r="K11" i="13"/>
  <c r="K10" i="13"/>
  <c r="K9" i="13"/>
  <c r="I15" i="13"/>
  <c r="J15" i="13" s="1"/>
  <c r="I9" i="13"/>
  <c r="J9" i="13" s="1"/>
  <c r="I14" i="13"/>
  <c r="J14" i="13" s="1"/>
  <c r="I13" i="13"/>
  <c r="J13" i="13" s="1"/>
  <c r="I11" i="13"/>
  <c r="J11" i="13" s="1"/>
  <c r="I10" i="13"/>
  <c r="J10" i="13" s="1"/>
  <c r="F8" i="13"/>
  <c r="F28" i="13" s="1"/>
  <c r="D8" i="13"/>
  <c r="D28" i="13" s="1"/>
  <c r="J14" i="3"/>
  <c r="D47" i="13" l="1"/>
  <c r="D49" i="13" s="1"/>
  <c r="F49" i="13"/>
  <c r="I38" i="13"/>
  <c r="J38" i="13" s="1"/>
  <c r="H8" i="13"/>
  <c r="H28" i="13" s="1"/>
  <c r="H49" i="13" s="1"/>
  <c r="K8" i="13"/>
  <c r="K28" i="13" s="1"/>
  <c r="K49" i="13" s="1"/>
  <c r="G8" i="13"/>
  <c r="G28" i="13" s="1"/>
  <c r="G49" i="13" s="1"/>
  <c r="I12" i="13"/>
  <c r="I31" i="13"/>
  <c r="J27" i="3"/>
  <c r="K27" i="3" s="1"/>
  <c r="I8" i="13" l="1"/>
  <c r="J12" i="13"/>
  <c r="J31" i="13"/>
  <c r="I47" i="13"/>
  <c r="J47" i="13" s="1"/>
  <c r="F40" i="6"/>
  <c r="F35" i="6"/>
  <c r="F13" i="6"/>
  <c r="D13" i="6"/>
  <c r="I28" i="13" l="1"/>
  <c r="J8" i="13"/>
  <c r="D25" i="6"/>
  <c r="D35" i="6"/>
  <c r="D40" i="6"/>
  <c r="D48" i="6"/>
  <c r="D41" i="6" l="1"/>
  <c r="J28" i="13"/>
  <c r="I49" i="13"/>
  <c r="J49" i="13" s="1"/>
  <c r="D26" i="6"/>
  <c r="D36" i="7"/>
  <c r="D32" i="7"/>
  <c r="D26" i="7"/>
  <c r="D42" i="7" s="1"/>
  <c r="D43" i="6" l="1"/>
  <c r="E15" i="11"/>
  <c r="D15" i="11"/>
  <c r="C15" i="11"/>
  <c r="K13" i="11"/>
  <c r="K12" i="11"/>
  <c r="K7" i="11"/>
  <c r="K6" i="11"/>
  <c r="L21" i="12"/>
  <c r="L20" i="12"/>
  <c r="J15" i="12"/>
  <c r="H16" i="12"/>
  <c r="I18" i="12" s="1"/>
  <c r="F15" i="12"/>
  <c r="H10" i="12"/>
  <c r="H9" i="12"/>
  <c r="H8" i="12"/>
  <c r="D15" i="12"/>
  <c r="D7" i="12"/>
  <c r="D37" i="1"/>
  <c r="D23" i="1"/>
  <c r="I12" i="12" l="1"/>
  <c r="I7" i="12"/>
  <c r="H15" i="12"/>
  <c r="H18" i="12"/>
  <c r="H12" i="12"/>
  <c r="H7" i="12"/>
  <c r="F20" i="12"/>
  <c r="K15" i="11"/>
  <c r="G15" i="12"/>
  <c r="D20" i="12"/>
  <c r="J20" i="12"/>
  <c r="D39" i="1"/>
  <c r="D43" i="1" s="1"/>
  <c r="D45" i="1" s="1"/>
  <c r="D47" i="1" s="1"/>
  <c r="D49" i="1" s="1"/>
  <c r="E18" i="15"/>
  <c r="E20" i="15" s="1"/>
  <c r="H20" i="12" l="1"/>
  <c r="G20" i="12"/>
  <c r="C18" i="15"/>
  <c r="J15" i="15" l="1"/>
  <c r="J16" i="15"/>
  <c r="J6" i="15"/>
  <c r="J7" i="15"/>
  <c r="J8" i="15"/>
  <c r="J9" i="15"/>
  <c r="J10" i="15"/>
  <c r="J11" i="15"/>
  <c r="J12" i="15"/>
  <c r="J13" i="15"/>
  <c r="J14" i="15"/>
  <c r="S33" i="1"/>
  <c r="S31" i="1"/>
  <c r="S27" i="1"/>
  <c r="S30" i="1"/>
  <c r="K24" i="10" l="1"/>
  <c r="K19" i="11"/>
  <c r="K18" i="11" s="1"/>
  <c r="J12" i="18" l="1"/>
  <c r="I12" i="18"/>
  <c r="H12" i="18"/>
  <c r="F12" i="18"/>
  <c r="C46" i="2"/>
  <c r="C40" i="2"/>
  <c r="F32" i="2"/>
  <c r="E32" i="2"/>
  <c r="G31" i="2"/>
  <c r="F31" i="2"/>
  <c r="E31" i="2"/>
  <c r="G30" i="2"/>
  <c r="F30" i="2"/>
  <c r="E30" i="2"/>
  <c r="G18" i="2"/>
  <c r="G17" i="2"/>
  <c r="G16" i="2"/>
  <c r="G15" i="2"/>
  <c r="G14" i="2"/>
  <c r="G13" i="2"/>
  <c r="G12" i="2"/>
  <c r="F18" i="2"/>
  <c r="F17" i="2"/>
  <c r="F15" i="2"/>
  <c r="F14" i="2"/>
  <c r="F13" i="2"/>
  <c r="F12" i="2"/>
  <c r="G10" i="2"/>
  <c r="G9" i="2"/>
  <c r="G8" i="2"/>
  <c r="G7" i="2"/>
  <c r="G6" i="2"/>
  <c r="F10" i="2"/>
  <c r="F9" i="2"/>
  <c r="F8" i="2"/>
  <c r="F7" i="2"/>
  <c r="F6" i="2"/>
  <c r="H15" i="2" l="1"/>
  <c r="H12" i="2"/>
  <c r="H13" i="2"/>
  <c r="H17" i="2"/>
  <c r="J17" i="2" s="1"/>
  <c r="H18" i="2"/>
  <c r="J18" i="2" s="1"/>
  <c r="H14" i="2"/>
  <c r="S35" i="1"/>
  <c r="H31" i="2"/>
  <c r="H30" i="2"/>
  <c r="H36" i="3"/>
  <c r="J36" i="3" s="1"/>
  <c r="H34" i="3"/>
  <c r="H33" i="3"/>
  <c r="H32" i="3"/>
  <c r="H25" i="3"/>
  <c r="H24" i="3"/>
  <c r="H23" i="3"/>
  <c r="H22" i="3"/>
  <c r="H17" i="3"/>
  <c r="H10" i="3"/>
  <c r="J10" i="3" s="1"/>
  <c r="K10" i="3" s="1"/>
  <c r="J14" i="2" l="1"/>
  <c r="J15" i="2"/>
  <c r="K15" i="2" s="1"/>
  <c r="J13" i="2"/>
  <c r="K13" i="2" s="1"/>
  <c r="J12" i="2"/>
  <c r="K12" i="2" s="1"/>
  <c r="K18" i="2"/>
  <c r="J16" i="3"/>
  <c r="K16" i="3" s="1"/>
  <c r="J7" i="3"/>
  <c r="K7" i="3" s="1"/>
  <c r="J13" i="3"/>
  <c r="J15" i="3"/>
  <c r="K15" i="3" s="1"/>
  <c r="J17" i="3"/>
  <c r="F48" i="6"/>
  <c r="F25" i="6"/>
  <c r="H37" i="2" s="1"/>
  <c r="H36" i="2"/>
  <c r="H39" i="2"/>
  <c r="H38" i="2"/>
  <c r="H40" i="2" l="1"/>
  <c r="F26" i="6"/>
  <c r="F41" i="6"/>
  <c r="L37" i="3"/>
  <c r="K37" i="3"/>
  <c r="J37" i="3"/>
  <c r="I37" i="3"/>
  <c r="H37" i="3"/>
  <c r="H45" i="2" s="1"/>
  <c r="L45" i="2" s="1"/>
  <c r="G37" i="3"/>
  <c r="G45" i="2" s="1"/>
  <c r="F37" i="3"/>
  <c r="F45" i="2" s="1"/>
  <c r="E37" i="3"/>
  <c r="E45" i="2" s="1"/>
  <c r="C37" i="3"/>
  <c r="D37" i="3"/>
  <c r="L28" i="3"/>
  <c r="J28" i="3"/>
  <c r="I28" i="3"/>
  <c r="H28" i="3"/>
  <c r="H44" i="2" s="1"/>
  <c r="G28" i="3"/>
  <c r="G44" i="2" s="1"/>
  <c r="F28" i="3"/>
  <c r="F44" i="2" s="1"/>
  <c r="E28" i="3"/>
  <c r="E44" i="2" s="1"/>
  <c r="L44" i="2" s="1"/>
  <c r="D28" i="3"/>
  <c r="L18" i="3"/>
  <c r="J18" i="3"/>
  <c r="I18" i="3"/>
  <c r="I39" i="3" s="1"/>
  <c r="H18" i="3"/>
  <c r="H43" i="2" s="1"/>
  <c r="G43" i="2"/>
  <c r="F18" i="3"/>
  <c r="F43" i="2" s="1"/>
  <c r="E18" i="3"/>
  <c r="E43" i="2" s="1"/>
  <c r="L43" i="2" s="1"/>
  <c r="D18" i="3"/>
  <c r="J49" i="7"/>
  <c r="J53" i="7" s="1"/>
  <c r="I51" i="7"/>
  <c r="I50" i="7"/>
  <c r="H49" i="7"/>
  <c r="G49" i="7"/>
  <c r="F49" i="7"/>
  <c r="C49" i="7"/>
  <c r="C53" i="7" s="1"/>
  <c r="D49" i="7"/>
  <c r="D53" i="7" s="1"/>
  <c r="I48" i="7"/>
  <c r="I47" i="7"/>
  <c r="I46" i="7"/>
  <c r="I45" i="7"/>
  <c r="K33" i="7"/>
  <c r="F36" i="7"/>
  <c r="C36" i="7"/>
  <c r="C32" i="7"/>
  <c r="C26" i="7"/>
  <c r="L22" i="7"/>
  <c r="K22" i="7"/>
  <c r="H22" i="7"/>
  <c r="G32" i="2" s="1"/>
  <c r="H32" i="2" s="1"/>
  <c r="J32" i="2" s="1"/>
  <c r="K32" i="2" s="1"/>
  <c r="G22" i="7"/>
  <c r="C22" i="7"/>
  <c r="M18" i="7"/>
  <c r="M19" i="7" s="1"/>
  <c r="L18" i="7"/>
  <c r="L19" i="7" s="1"/>
  <c r="H18" i="7"/>
  <c r="H19" i="7" s="1"/>
  <c r="D18" i="7"/>
  <c r="D19" i="7" s="1"/>
  <c r="N37" i="1"/>
  <c r="M37" i="1"/>
  <c r="K37" i="1"/>
  <c r="C33" i="2"/>
  <c r="I11" i="2"/>
  <c r="G11" i="2"/>
  <c r="F11" i="2"/>
  <c r="E11" i="2"/>
  <c r="C11" i="2"/>
  <c r="B11" i="2"/>
  <c r="I19" i="2"/>
  <c r="G19" i="2"/>
  <c r="C19" i="2"/>
  <c r="B19" i="2"/>
  <c r="H7" i="2"/>
  <c r="H8" i="2"/>
  <c r="H9" i="2"/>
  <c r="H10" i="2"/>
  <c r="H6" i="2"/>
  <c r="I52" i="7" l="1"/>
  <c r="K52" i="7" s="1"/>
  <c r="H53" i="7"/>
  <c r="K18" i="3"/>
  <c r="M22" i="7"/>
  <c r="M42" i="7" s="1"/>
  <c r="K28" i="7"/>
  <c r="J10" i="2"/>
  <c r="K10" i="2" s="1"/>
  <c r="J8" i="2"/>
  <c r="K8" i="2" s="1"/>
  <c r="J6" i="2"/>
  <c r="K6" i="2" s="1"/>
  <c r="J7" i="2"/>
  <c r="K7" i="2" s="1"/>
  <c r="J9" i="2"/>
  <c r="J44" i="2"/>
  <c r="K44" i="2" s="1"/>
  <c r="J43" i="2"/>
  <c r="K43" i="2" s="1"/>
  <c r="F43" i="6"/>
  <c r="K28" i="3"/>
  <c r="M32" i="7"/>
  <c r="K34" i="7"/>
  <c r="F29" i="2"/>
  <c r="F33" i="2" s="1"/>
  <c r="G53" i="7"/>
  <c r="J22" i="7"/>
  <c r="J32" i="7"/>
  <c r="J36" i="7"/>
  <c r="M36" i="7"/>
  <c r="M49" i="7"/>
  <c r="K45" i="7"/>
  <c r="L45" i="7" s="1"/>
  <c r="E29" i="2"/>
  <c r="F53" i="7"/>
  <c r="I20" i="2"/>
  <c r="I23" i="2" s="1"/>
  <c r="I25" i="2" s="1"/>
  <c r="C20" i="2"/>
  <c r="C23" i="2" s="1"/>
  <c r="C25" i="2" s="1"/>
  <c r="E46" i="2"/>
  <c r="F39" i="3"/>
  <c r="G46" i="2"/>
  <c r="J18" i="7"/>
  <c r="J19" i="7" s="1"/>
  <c r="H42" i="7"/>
  <c r="G28" i="2" s="1"/>
  <c r="G42" i="7"/>
  <c r="F28" i="2" s="1"/>
  <c r="J26" i="7"/>
  <c r="F46" i="2"/>
  <c r="D39" i="3"/>
  <c r="B20" i="2"/>
  <c r="B23" i="2" s="1"/>
  <c r="B25" i="2" s="1"/>
  <c r="G29" i="2"/>
  <c r="G33" i="2" s="1"/>
  <c r="H11" i="2"/>
  <c r="M39" i="1"/>
  <c r="M43" i="1" s="1"/>
  <c r="M45" i="1" s="1"/>
  <c r="M47" i="1" s="1"/>
  <c r="M49" i="1" s="1"/>
  <c r="I49" i="7"/>
  <c r="F42" i="7"/>
  <c r="G20" i="2"/>
  <c r="G23" i="2" s="1"/>
  <c r="G25" i="2" s="1"/>
  <c r="E20" i="2"/>
  <c r="E23" i="2" s="1"/>
  <c r="E25" i="2" s="1"/>
  <c r="N39" i="1"/>
  <c r="N43" i="1" s="1"/>
  <c r="N45" i="1" s="1"/>
  <c r="N47" i="1" s="1"/>
  <c r="N49" i="1" s="1"/>
  <c r="E39" i="3"/>
  <c r="H39" i="3"/>
  <c r="J39" i="3" s="1"/>
  <c r="K39" i="3" s="1"/>
  <c r="I32" i="7"/>
  <c r="I26" i="7"/>
  <c r="I25" i="7" s="1"/>
  <c r="I22" i="7" s="1"/>
  <c r="G39" i="3"/>
  <c r="D41" i="3" l="1"/>
  <c r="L41" i="3" s="1"/>
  <c r="L39" i="3"/>
  <c r="E33" i="2"/>
  <c r="L29" i="2"/>
  <c r="M53" i="7"/>
  <c r="L11" i="2"/>
  <c r="E41" i="3"/>
  <c r="F40" i="3" s="1"/>
  <c r="F41" i="3" s="1"/>
  <c r="G40" i="3" s="1"/>
  <c r="G41" i="3" s="1"/>
  <c r="H40" i="3" s="1"/>
  <c r="K9" i="2"/>
  <c r="J11" i="2"/>
  <c r="K32" i="7"/>
  <c r="L32" i="7" s="1"/>
  <c r="J42" i="7"/>
  <c r="H29" i="2"/>
  <c r="K26" i="7"/>
  <c r="I53" i="7"/>
  <c r="K53" i="7" s="1"/>
  <c r="L53" i="7" s="1"/>
  <c r="K49" i="7"/>
  <c r="L49" i="7" s="1"/>
  <c r="E28" i="2"/>
  <c r="H28" i="2" s="1"/>
  <c r="C2" i="11"/>
  <c r="A2" i="11"/>
  <c r="H41" i="3" l="1"/>
  <c r="J41" i="3" s="1"/>
  <c r="K41" i="3" s="1"/>
  <c r="J40" i="3"/>
  <c r="K40" i="3" s="1"/>
  <c r="H33" i="2"/>
  <c r="J33" i="2" s="1"/>
  <c r="K33" i="2" s="1"/>
  <c r="J29" i="2"/>
  <c r="K29" i="2" s="1"/>
  <c r="L33" i="2"/>
  <c r="H46" i="2"/>
  <c r="K11" i="2"/>
  <c r="L26" i="7"/>
  <c r="F16" i="2"/>
  <c r="K39" i="1" l="1"/>
  <c r="K43" i="1" s="1"/>
  <c r="K45" i="1" s="1"/>
  <c r="K47" i="1" s="1"/>
  <c r="K49" i="1" s="1"/>
  <c r="H16" i="2"/>
  <c r="P39" i="1"/>
  <c r="P43" i="1" s="1"/>
  <c r="P45" i="1" s="1"/>
  <c r="P47" i="1" s="1"/>
  <c r="P49" i="1" s="1"/>
  <c r="O37" i="1"/>
  <c r="T37" i="1"/>
  <c r="F19" i="2"/>
  <c r="F20" i="2" s="1"/>
  <c r="F23" i="2" s="1"/>
  <c r="F25" i="2" s="1"/>
  <c r="O39" i="1" l="1"/>
  <c r="O43" i="1" s="1"/>
  <c r="O45" i="1" s="1"/>
  <c r="O47" i="1" s="1"/>
  <c r="O49" i="1" s="1"/>
  <c r="R37" i="1"/>
  <c r="S37" i="1" s="1"/>
  <c r="S39" i="1" s="1"/>
  <c r="S43" i="1" s="1"/>
  <c r="S45" i="1" s="1"/>
  <c r="S47" i="1" s="1"/>
  <c r="S49" i="1" s="1"/>
  <c r="H19" i="2"/>
  <c r="H20" i="2" s="1"/>
  <c r="H23" i="2" s="1"/>
  <c r="H25" i="2" s="1"/>
  <c r="J16" i="2"/>
  <c r="L19" i="2"/>
  <c r="L20" i="2" s="1"/>
  <c r="L23" i="2" s="1"/>
  <c r="L25" i="2" s="1"/>
  <c r="T39" i="1"/>
  <c r="T43" i="1" s="1"/>
  <c r="T45" i="1" s="1"/>
  <c r="T47" i="1" s="1"/>
  <c r="T49" i="1" s="1"/>
  <c r="R39" i="1" l="1"/>
  <c r="R43" i="1" s="1"/>
  <c r="R45" i="1" s="1"/>
  <c r="R47" i="1" s="1"/>
  <c r="R49" i="1" s="1"/>
  <c r="K16" i="2"/>
  <c r="J19" i="2"/>
  <c r="K19" i="2" l="1"/>
  <c r="J20" i="2"/>
  <c r="J23" i="2" l="1"/>
  <c r="J25" i="2" s="1"/>
  <c r="K20" i="2"/>
  <c r="K23" i="2" s="1"/>
  <c r="K25" i="2" s="1"/>
  <c r="K39" i="7"/>
  <c r="L39" i="7" s="1"/>
  <c r="K37" i="7"/>
  <c r="I36" i="7"/>
  <c r="I42" i="7" s="1"/>
  <c r="K38" i="7"/>
  <c r="L38" i="7" s="1"/>
  <c r="K36" i="7" l="1"/>
  <c r="L36" i="7" s="1"/>
  <c r="K42" i="7"/>
  <c r="L42" i="7" s="1"/>
  <c r="L37" i="7"/>
  <c r="K11" i="7"/>
  <c r="K14" i="7"/>
  <c r="K16" i="7"/>
  <c r="K12" i="7"/>
  <c r="K10" i="7"/>
  <c r="K15" i="7"/>
  <c r="K8" i="7"/>
  <c r="K17" i="7"/>
  <c r="K9" i="7"/>
  <c r="K13" i="7"/>
  <c r="I18" i="7"/>
  <c r="I19" i="7" s="1"/>
  <c r="K18" i="7" l="1"/>
  <c r="K19" i="7" s="1"/>
</calcChain>
</file>

<file path=xl/sharedStrings.xml><?xml version="1.0" encoding="utf-8"?>
<sst xmlns="http://schemas.openxmlformats.org/spreadsheetml/2006/main" count="679" uniqueCount="425">
  <si>
    <t>Description</t>
  </si>
  <si>
    <t>Ref</t>
  </si>
  <si>
    <t>2012/13</t>
  </si>
  <si>
    <t>Audited Outcome</t>
  </si>
  <si>
    <t>Original Budget</t>
  </si>
  <si>
    <t>Adjusted Budget</t>
  </si>
  <si>
    <t>Monthly actual</t>
  </si>
  <si>
    <t>YearTD actual</t>
  </si>
  <si>
    <t>YearTD budget</t>
  </si>
  <si>
    <t>YTD variance</t>
  </si>
  <si>
    <t>Full Year Forecast</t>
  </si>
  <si>
    <t>R thousands</t>
  </si>
  <si>
    <t>%</t>
  </si>
  <si>
    <t>Revenue By Source</t>
  </si>
  <si>
    <t>Property rates</t>
  </si>
  <si>
    <t>Property rates - penalties &amp; collection charges</t>
  </si>
  <si>
    <t/>
  </si>
  <si>
    <t>Service charges - electricity revenue</t>
  </si>
  <si>
    <t>Service charges - water revenue</t>
  </si>
  <si>
    <t>Service charges - sanitation revenue</t>
  </si>
  <si>
    <t>Service charges - refuse revenue</t>
  </si>
  <si>
    <t>Service charges - other</t>
  </si>
  <si>
    <t>Rental of facilities and equipment</t>
  </si>
  <si>
    <t>Interest earned - external investments</t>
  </si>
  <si>
    <t>Interest earned - outstanding debtors</t>
  </si>
  <si>
    <t>Dividends received</t>
  </si>
  <si>
    <t>Fines</t>
  </si>
  <si>
    <t>Licences and permits</t>
  </si>
  <si>
    <t>Agency services</t>
  </si>
  <si>
    <t>Transfers recognised - operational</t>
  </si>
  <si>
    <t>Other revenue</t>
  </si>
  <si>
    <t>Gains on disposal of PPE</t>
  </si>
  <si>
    <t>Total Revenue (excluding capital transfers and contributions)</t>
  </si>
  <si>
    <t>Expenditure By Type</t>
  </si>
  <si>
    <t>Employee related costs</t>
  </si>
  <si>
    <t>Remuneration of councillors</t>
  </si>
  <si>
    <t>Debt impairment</t>
  </si>
  <si>
    <t>Depreciation &amp; asset impairment</t>
  </si>
  <si>
    <t>Finance charges</t>
  </si>
  <si>
    <t>Bulk purchases</t>
  </si>
  <si>
    <t>Other materials</t>
  </si>
  <si>
    <t>Contracted services</t>
  </si>
  <si>
    <t>Transfers and grants</t>
  </si>
  <si>
    <t>Other expenditure</t>
  </si>
  <si>
    <t>Loss on disposal of PPE</t>
  </si>
  <si>
    <t>Total Expenditure</t>
  </si>
  <si>
    <t>Surplus/(Deficit)</t>
  </si>
  <si>
    <t>Transfers recognised - capital</t>
  </si>
  <si>
    <t>Contributions recognised - capital</t>
  </si>
  <si>
    <t>Contributed assets</t>
  </si>
  <si>
    <t>Surplus/(Deficit) after capital transfers &amp; contributions</t>
  </si>
  <si>
    <t>Taxation</t>
  </si>
  <si>
    <t>Surplus/(Deficit) after taxation</t>
  </si>
  <si>
    <t>Attributable to minorities</t>
  </si>
  <si>
    <t>Surplus/(Deficit) attributable to municipality</t>
  </si>
  <si>
    <t>Share of surplus/ (deficit) of associate</t>
  </si>
  <si>
    <t>Surplus/ (Deficit) for the year</t>
  </si>
  <si>
    <t>Financial Performance</t>
  </si>
  <si>
    <t>Service charges</t>
  </si>
  <si>
    <t>Investment revenue</t>
  </si>
  <si>
    <t>Other own revenue</t>
  </si>
  <si>
    <t>Employee costs</t>
  </si>
  <si>
    <t>Remuneration of Councillors</t>
  </si>
  <si>
    <t>Materials and bulk purchases</t>
  </si>
  <si>
    <t>Contributions &amp; Contributed assets</t>
  </si>
  <si>
    <t>Capital expenditure &amp; funds sources</t>
  </si>
  <si>
    <t>Capital expenditure</t>
  </si>
  <si>
    <t>Capital transfers recognised</t>
  </si>
  <si>
    <t>Public contributions &amp; donations</t>
  </si>
  <si>
    <t>Borrowing</t>
  </si>
  <si>
    <t>Internally generated funds</t>
  </si>
  <si>
    <t>Total sources of capital funds</t>
  </si>
  <si>
    <t>Financial position</t>
  </si>
  <si>
    <t>Total current assets</t>
  </si>
  <si>
    <t>Total non current assets</t>
  </si>
  <si>
    <t>Total current liabilities</t>
  </si>
  <si>
    <t>Total non current liabilities</t>
  </si>
  <si>
    <t>Community wealth/Equity</t>
  </si>
  <si>
    <t>Cash flows</t>
  </si>
  <si>
    <t>Net cash from (used) operating</t>
  </si>
  <si>
    <t>Net cash from (used) investing</t>
  </si>
  <si>
    <t>Net cash from (used) financing</t>
  </si>
  <si>
    <t>Cash/cash equivalents at the month/year end</t>
  </si>
  <si>
    <t>Debtors &amp; creditors analysis</t>
  </si>
  <si>
    <t>0-30 Days</t>
  </si>
  <si>
    <t>31-60 Days</t>
  </si>
  <si>
    <t>61-90 Days</t>
  </si>
  <si>
    <t>91-120 Days</t>
  </si>
  <si>
    <t>121-150 Dys</t>
  </si>
  <si>
    <t>151-180 Dys</t>
  </si>
  <si>
    <t>181 Dys-1 Yr</t>
  </si>
  <si>
    <t>Over 1Yr</t>
  </si>
  <si>
    <t>Total</t>
  </si>
  <si>
    <t>Debtors Age Analysis</t>
  </si>
  <si>
    <t>Total By Revenue Source</t>
  </si>
  <si>
    <t>Creditors Age Analysis</t>
  </si>
  <si>
    <t>Total Creditors</t>
  </si>
  <si>
    <t>Governance and administration</t>
  </si>
  <si>
    <t>Executive and council</t>
  </si>
  <si>
    <t>Budget and treasury office</t>
  </si>
  <si>
    <t>Corporate services</t>
  </si>
  <si>
    <t>Community and public safety</t>
  </si>
  <si>
    <t>Community and social services</t>
  </si>
  <si>
    <t>Sport and recreation</t>
  </si>
  <si>
    <t>Public safety</t>
  </si>
  <si>
    <t>Housing</t>
  </si>
  <si>
    <t>Health</t>
  </si>
  <si>
    <t>Economic and environmental services</t>
  </si>
  <si>
    <t>Planning and development</t>
  </si>
  <si>
    <t>Road transport</t>
  </si>
  <si>
    <t>Environmental protection</t>
  </si>
  <si>
    <t>Trading services</t>
  </si>
  <si>
    <t>Electricity</t>
  </si>
  <si>
    <t>Water</t>
  </si>
  <si>
    <t>Waste water management</t>
  </si>
  <si>
    <t>Waste management</t>
  </si>
  <si>
    <t>Other</t>
  </si>
  <si>
    <t>Vote Description</t>
  </si>
  <si>
    <t>Vote 1 - Council and Executive</t>
  </si>
  <si>
    <t>Vote 2 - Financial and Administration Services</t>
  </si>
  <si>
    <t>Vote 3 - Planning and Development</t>
  </si>
  <si>
    <t>Vote 4 - Health</t>
  </si>
  <si>
    <t>Vote 5 - Community and Social Services</t>
  </si>
  <si>
    <t>Vote 6 - Public Safety</t>
  </si>
  <si>
    <t>Vote 7 - Sports and recreation</t>
  </si>
  <si>
    <t>Vote 8 - Waste Management</t>
  </si>
  <si>
    <t>Vote 9 - Waste Water Management</t>
  </si>
  <si>
    <t>Vote 10 - Road Transport</t>
  </si>
  <si>
    <t>Vote 11 - Water</t>
  </si>
  <si>
    <t>Vote 12 - Electricity</t>
  </si>
  <si>
    <t>Single Year expenditure appropriation</t>
  </si>
  <si>
    <t>Total Capital single-year expenditure</t>
  </si>
  <si>
    <t>Total Capital Expenditure</t>
  </si>
  <si>
    <t>Capital Expenditure - Standard Classification</t>
  </si>
  <si>
    <t>Total Capital Expenditure - Standard Classification</t>
  </si>
  <si>
    <t>Funded by:</t>
  </si>
  <si>
    <t>National Government</t>
  </si>
  <si>
    <t>Provincial Government</t>
  </si>
  <si>
    <t>District Municipality</t>
  </si>
  <si>
    <t>Other transfers and grants</t>
  </si>
  <si>
    <t>Total Capital Funding</t>
  </si>
  <si>
    <t>ASSETS</t>
  </si>
  <si>
    <t>Current assets</t>
  </si>
  <si>
    <t>Cash</t>
  </si>
  <si>
    <t>Call investment deposits</t>
  </si>
  <si>
    <t>Consumer debtors</t>
  </si>
  <si>
    <t>Other debtors</t>
  </si>
  <si>
    <t>Current portion of long-term receivables</t>
  </si>
  <si>
    <t>Inventory</t>
  </si>
  <si>
    <t>Non current assets</t>
  </si>
  <si>
    <t>Long-term receivables</t>
  </si>
  <si>
    <t>Investments</t>
  </si>
  <si>
    <t>Investment property</t>
  </si>
  <si>
    <t>Investments in Associate</t>
  </si>
  <si>
    <t>Property, plant and equipment</t>
  </si>
  <si>
    <t>Agricultural</t>
  </si>
  <si>
    <t>Biological assets</t>
  </si>
  <si>
    <t>Intangible assets</t>
  </si>
  <si>
    <t>Other non-current assets</t>
  </si>
  <si>
    <t>TOTAL ASSETS</t>
  </si>
  <si>
    <t>LIABILITIES</t>
  </si>
  <si>
    <t>Current liabilities</t>
  </si>
  <si>
    <t>Bank overdraft</t>
  </si>
  <si>
    <t>Consumer deposits</t>
  </si>
  <si>
    <t>Trade and other payables</t>
  </si>
  <si>
    <t>Provisions</t>
  </si>
  <si>
    <t>Non current liabilities</t>
  </si>
  <si>
    <t>TOTAL LIABILITIES</t>
  </si>
  <si>
    <t>NET ASSETS</t>
  </si>
  <si>
    <t>COMMUNITY WEALTH/EQUITY</t>
  </si>
  <si>
    <t>Accumulated Surplus/(Deficit)</t>
  </si>
  <si>
    <t>Reserves</t>
  </si>
  <si>
    <t>TOTAL COMMUNITY WEALTH/EQUITY</t>
  </si>
  <si>
    <t>CASH FLOW FROM OPERATING ACTIVITIES</t>
  </si>
  <si>
    <t>Receipts</t>
  </si>
  <si>
    <t>Ratepayers and other</t>
  </si>
  <si>
    <t>.</t>
  </si>
  <si>
    <t>Government - operating</t>
  </si>
  <si>
    <t>Government - capital</t>
  </si>
  <si>
    <t>Interest</t>
  </si>
  <si>
    <t>Dividends</t>
  </si>
  <si>
    <t>Payments</t>
  </si>
  <si>
    <t>Suppliers and employees</t>
  </si>
  <si>
    <t>Transfers and Grants</t>
  </si>
  <si>
    <t>NET CASH FROM/(USED) OPERATING ACTIVITIES</t>
  </si>
  <si>
    <t>CASH FLOWS FROM INVESTING ACTIVITIES</t>
  </si>
  <si>
    <t>Proceeds on disposal of PPE</t>
  </si>
  <si>
    <t>Decrease (Increase) in non-current debtors</t>
  </si>
  <si>
    <t>Decrease (increase) other non-current receivables</t>
  </si>
  <si>
    <t>Decrease (increase) in non-current investments</t>
  </si>
  <si>
    <t>Capital assets</t>
  </si>
  <si>
    <t>NET CASH FROM/(USED) INVESTING ACTIVITIES</t>
  </si>
  <si>
    <t>CASH FLOWS FROM FINANCING ACTIVITIES</t>
  </si>
  <si>
    <t>Short term loans</t>
  </si>
  <si>
    <t>Borrowing long term/refinancing</t>
  </si>
  <si>
    <t>Increase (decrease) in consumer deposits</t>
  </si>
  <si>
    <t>Repayment of borrowing</t>
  </si>
  <si>
    <t>NET CASH FROM/(USED) FINANCING ACTIVITIES</t>
  </si>
  <si>
    <t>NET INCREASE/ (DECREASE) IN CASH HELD</t>
  </si>
  <si>
    <t>Cash/cash equivalents at beginning:</t>
  </si>
  <si>
    <t>Cash/cash equivalents at month/year end:</t>
  </si>
  <si>
    <t>Variance</t>
  </si>
  <si>
    <t>Reasons for material deviations</t>
  </si>
  <si>
    <t>Remedial or corrective steps/remarks</t>
  </si>
  <si>
    <t>Capital Expenditure</t>
  </si>
  <si>
    <t>Financial Position</t>
  </si>
  <si>
    <t>Cash Flow</t>
  </si>
  <si>
    <t>Measureable performance</t>
  </si>
  <si>
    <t>Municipal Entities</t>
  </si>
  <si>
    <t>Description of financial indicator</t>
  </si>
  <si>
    <t>Basis of calculation</t>
  </si>
  <si>
    <t>Borrowing Management</t>
  </si>
  <si>
    <t>Capital Charges to Operating Expenditure</t>
  </si>
  <si>
    <t>Interest &amp; principal paid/Operating Expenditure</t>
  </si>
  <si>
    <t>Borrowed funding of 'own' capital expenditure</t>
  </si>
  <si>
    <t>Borrowings/Capital expenditure excl. transfers and grants</t>
  </si>
  <si>
    <t>Safety of Capital</t>
  </si>
  <si>
    <t>Debt to Equity</t>
  </si>
  <si>
    <t>Loans, Accounts Payable, Overdraft &amp; Tax Provision/ Funds &amp; Reserves</t>
  </si>
  <si>
    <t>Gearing</t>
  </si>
  <si>
    <t>Long Term Borrowing/ Funds &amp; Reserves</t>
  </si>
  <si>
    <t>Liquidity</t>
  </si>
  <si>
    <t>Current Ratio</t>
  </si>
  <si>
    <t>Current assets/current liabilities</t>
  </si>
  <si>
    <t>Liquidity Ratio</t>
  </si>
  <si>
    <t>Monetary Assets/Current Liabilities</t>
  </si>
  <si>
    <t>Revenue Management</t>
  </si>
  <si>
    <t>Annual Debtors Collection Rate 
(Payment Level %)</t>
  </si>
  <si>
    <t>Last 12 Mths Receipts/ Last 12 Mths Billing</t>
  </si>
  <si>
    <t>Outstanding Debtors to Revenue</t>
  </si>
  <si>
    <t>Total Outstanding Debtors to Annual Revenue</t>
  </si>
  <si>
    <t>Longstanding Debtors Recovered</t>
  </si>
  <si>
    <t>Debtors &gt; 12 Mths Recovered/Total Debtors &gt; 
12 Months Old</t>
  </si>
  <si>
    <t>Creditors Management</t>
  </si>
  <si>
    <t>Creditors System Efficiency</t>
  </si>
  <si>
    <t>% of Creditors Paid Within Terms (within MFMA s 65(e))</t>
  </si>
  <si>
    <t>Funding of Provisions</t>
  </si>
  <si>
    <t>Percentage Of Provisions Not Funded</t>
  </si>
  <si>
    <t>Unfunded Provisions/Total Provisions</t>
  </si>
  <si>
    <t>Other Indicators</t>
  </si>
  <si>
    <t>Electricity Distribution Losses</t>
  </si>
  <si>
    <t>% Volume (units purchased and generated less units sold)/units purchased and generated</t>
  </si>
  <si>
    <t>Water Distribution Losses</t>
  </si>
  <si>
    <t>% Volume (units purchased and own source less units sold)/Total units purchased and own source</t>
  </si>
  <si>
    <t>Employee costs/Total Revenue - capital revenue</t>
  </si>
  <si>
    <t>Repairs &amp; Maintenance</t>
  </si>
  <si>
    <t>R&amp;M/Total Revenue - capital revenue</t>
  </si>
  <si>
    <t>Interest &amp; Depreciation</t>
  </si>
  <si>
    <t>I&amp;D/Total Revenue - capital revenue</t>
  </si>
  <si>
    <t>IDP regulation financial viability indicators</t>
  </si>
  <si>
    <t>i. Debt coverage</t>
  </si>
  <si>
    <t>(Total Operating Revenue - Operating Grants)/Debt service payments due within financial year)</t>
  </si>
  <si>
    <t>ii. O/S Service Debtors to Revenue</t>
  </si>
  <si>
    <t>Total outstanding service debtors/annual revenue received for services</t>
  </si>
  <si>
    <t>iii. Cost coverage</t>
  </si>
  <si>
    <t>(Available cash + Investments)/monthly fixed operational expenditure</t>
  </si>
  <si>
    <t>RECEIPTS:</t>
  </si>
  <si>
    <t>1,2</t>
  </si>
  <si>
    <t>Operating Transfers and Grants</t>
  </si>
  <si>
    <t>National Government:</t>
  </si>
  <si>
    <t>Local Government Equitable Share</t>
  </si>
  <si>
    <t xml:space="preserve">Finance Management </t>
  </si>
  <si>
    <t>Municipal Systems Improvement</t>
  </si>
  <si>
    <t>Integrated National Electrification Programme</t>
  </si>
  <si>
    <t>EPWP Incentive</t>
  </si>
  <si>
    <t>MIG PMU Establishment</t>
  </si>
  <si>
    <t>Provincial Government:</t>
  </si>
  <si>
    <t>CoGTA - CFO Salary</t>
  </si>
  <si>
    <t>Other transfers and grants [insert description]</t>
  </si>
  <si>
    <t>District Municipality:</t>
  </si>
  <si>
    <t>[insert description]</t>
  </si>
  <si>
    <t>Other grant providers:</t>
  </si>
  <si>
    <t>Total Operating Transfers and Grants</t>
  </si>
  <si>
    <t>Capital Transfers and Grants</t>
  </si>
  <si>
    <t xml:space="preserve"> Municipal Infrastructure Grant (MIG)</t>
  </si>
  <si>
    <t>Regional Bulk Infrastructure</t>
  </si>
  <si>
    <t xml:space="preserve">Rural Households Infrastructure </t>
  </si>
  <si>
    <t>Department of Human Settlements</t>
  </si>
  <si>
    <t>Department of Water Affairs</t>
  </si>
  <si>
    <t>Total Capital Transfers and Grants</t>
  </si>
  <si>
    <t>TOTAL RECEIPTS OF TRANSFERS &amp; GRANTS</t>
  </si>
  <si>
    <t>EXPENDITURE</t>
  </si>
  <si>
    <t>Operating expenditure of Transfers and Grants</t>
  </si>
  <si>
    <t>Total operating expenditure of Transfers and Grants:</t>
  </si>
  <si>
    <t>Capital expenditure of Transfers and Grants</t>
  </si>
  <si>
    <t>Other capital transfers [insert description]</t>
  </si>
  <si>
    <t>Total capital expenditure of Transfers and Grants</t>
  </si>
  <si>
    <t>TOTAL EXPENDITURE OF TRANSFERS AND GRANTS</t>
  </si>
  <si>
    <t>Month</t>
  </si>
  <si>
    <t>% spend of Original Budget</t>
  </si>
  <si>
    <t>Monthly expenditure performance trend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</si>
  <si>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</si>
  <si>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</si>
  <si>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</si>
  <si>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</si>
  <si>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</si>
  <si>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</si>
  <si>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</si>
  <si>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</si>
  <si>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</si>
  <si>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</si>
  <si>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</si>
  <si>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</si>
  <si>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Capital expenditure</t>
  </si>
  <si>
    <t>NT Code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</si>
  <si>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</si>
  <si>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</si>
  <si>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</si>
  <si>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</si>
  <si>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</si>
  <si>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</si>
  <si>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</si>
  <si>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</si>
  <si>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 xml:space="preserve">Total
</t>
  </si>
  <si>
    <t>Creditors Age Analysis By Customer Type</t>
  </si>
  <si>
    <t>Bulk Electricity</t>
  </si>
  <si>
    <t>0100</t>
  </si>
  <si>
    <t>Bulk Water</t>
  </si>
  <si>
    <t>0200</t>
  </si>
  <si>
    <t>PAYE deductions</t>
  </si>
  <si>
    <t>0300</t>
  </si>
  <si>
    <t>VAT (output less input)</t>
  </si>
  <si>
    <t>0400</t>
  </si>
  <si>
    <t>Pensions / Retirement deductions</t>
  </si>
  <si>
    <t>0500</t>
  </si>
  <si>
    <t>Loan repayments</t>
  </si>
  <si>
    <t>0600</t>
  </si>
  <si>
    <t>Trade Creditors</t>
  </si>
  <si>
    <t>0700</t>
  </si>
  <si>
    <t>Auditor General</t>
  </si>
  <si>
    <t>0800</t>
  </si>
  <si>
    <t>0900</t>
  </si>
  <si>
    <t>Total By Customer Type</t>
  </si>
  <si>
    <t>2600</t>
  </si>
  <si>
    <t>Investments by maturity
Name of institution &amp; investment ID</t>
  </si>
  <si>
    <t>Period of Investment</t>
  </si>
  <si>
    <t>Type of Investment</t>
  </si>
  <si>
    <t>Expiry date of investment</t>
  </si>
  <si>
    <t>Accrued interest for the month</t>
  </si>
  <si>
    <r>
      <t xml:space="preserve">Yield for the month </t>
    </r>
    <r>
      <rPr>
        <sz val="8"/>
        <rFont val="Arial Narrow"/>
        <family val="2"/>
      </rPr>
      <t xml:space="preserve">1 
</t>
    </r>
    <r>
      <rPr>
        <b/>
        <sz val="8"/>
        <rFont val="Arial Narrow"/>
        <family val="2"/>
      </rPr>
      <t>(%)</t>
    </r>
  </si>
  <si>
    <t>Market value at beginning of the month</t>
  </si>
  <si>
    <t>Change in market value</t>
  </si>
  <si>
    <t>Market value at end of the month</t>
  </si>
  <si>
    <t>Yrs/Months</t>
  </si>
  <si>
    <t>Municipality</t>
  </si>
  <si>
    <t>ABSA 9211176952</t>
  </si>
  <si>
    <t>N/A</t>
  </si>
  <si>
    <t>ABSA 9211177843</t>
  </si>
  <si>
    <t>Fnb 62322122574</t>
  </si>
  <si>
    <t>TOTAL INVESTMENTS AND INTEREST</t>
  </si>
  <si>
    <t xml:space="preserve"> </t>
  </si>
  <si>
    <t>Households</t>
  </si>
  <si>
    <t>&gt;181 Dys-</t>
  </si>
  <si>
    <t>Notice acct</t>
  </si>
  <si>
    <t>Cheque acct</t>
  </si>
  <si>
    <t>Movement</t>
  </si>
  <si>
    <t>Billing vs. Receipts</t>
  </si>
  <si>
    <t>Income</t>
  </si>
  <si>
    <t>Expenditure</t>
  </si>
  <si>
    <t>Accelerated Community Infrastructure Programme</t>
  </si>
  <si>
    <t>R'000</t>
  </si>
  <si>
    <t xml:space="preserve">FS195 Phumelela - Table C7 Monthly Budget Statement - Cash Flow  </t>
  </si>
  <si>
    <t>Budget Year 2016/17</t>
  </si>
  <si>
    <t>2015/16</t>
  </si>
  <si>
    <t>FS195 Phumelela - Supporting Table SC7 Monthly Budget Statement - transfers and grant expenditure  - M03 September</t>
  </si>
  <si>
    <t>FS195 Phumelela - Supporting Table SC1 Material variance explanations  - M03 September</t>
  </si>
  <si>
    <t>Total 
over 90 days</t>
  </si>
  <si>
    <t>Actual Bad Debts Written Off against Debtors</t>
  </si>
  <si>
    <t>Impairment - Bad Debts i.t.o Council Policy</t>
  </si>
  <si>
    <t>Debtors Age Analysis By Income Source</t>
  </si>
  <si>
    <t>Trade and Other Receivables from Exchange Transactions - Water</t>
  </si>
  <si>
    <t>Trade and Other Receivables from Exchange Transactions - Electricity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</si>
  <si>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</si>
  <si>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</si>
  <si>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</si>
  <si>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Receivables from Exchange Transactions - Property Rental Debtors</t>
  </si>
  <si>
    <t>Interest on Arrear Debtor Accounts</t>
  </si>
  <si>
    <t>Recoverable unauthorised, irregular, fruitless and wasteful expenditure</t>
  </si>
  <si>
    <t>Total By Income Source</t>
  </si>
  <si>
    <t>Debtors Age Analysis By Customer Group</t>
  </si>
  <si>
    <t>Organs of State</t>
  </si>
  <si>
    <t>Commercial</t>
  </si>
  <si>
    <t>Total By Customer Group</t>
  </si>
  <si>
    <t>Service Charges</t>
  </si>
  <si>
    <t>Other Revenue</t>
  </si>
  <si>
    <t>2015/16 - totals only</t>
  </si>
  <si>
    <t>Prior year totals for chart (same period)</t>
  </si>
  <si>
    <t>Adjustment Budget</t>
  </si>
  <si>
    <t>FS195 Phumelela - Table C1 Quarterly Budget Statement Summary - Quarter 4</t>
  </si>
  <si>
    <t>April
actual</t>
  </si>
  <si>
    <t>May actual</t>
  </si>
  <si>
    <t>June
actual</t>
  </si>
  <si>
    <t>Quarter 4 actual</t>
  </si>
  <si>
    <t>Quarter 4 budget</t>
  </si>
  <si>
    <t>FS195 Phumelela - Table C4 Quarterly Budget Statement - Financial Performance (revenue and expenditure) - Quarter 4</t>
  </si>
  <si>
    <t>May
Budget</t>
  </si>
  <si>
    <t>May
Billing</t>
  </si>
  <si>
    <t>May
Receipts</t>
  </si>
  <si>
    <t>April
Budget</t>
  </si>
  <si>
    <t>April
Billing</t>
  </si>
  <si>
    <t>April
Receipts</t>
  </si>
  <si>
    <t>June
Budget</t>
  </si>
  <si>
    <t>June
Billing</t>
  </si>
  <si>
    <t>June
Receipts</t>
  </si>
  <si>
    <t>Quarter 4 Billings</t>
  </si>
  <si>
    <t>Quarter 4 Receipts</t>
  </si>
  <si>
    <t>Table C5 Quarterly Budget Statement Capital Expenditure (municipal vote, standard classification and funding) - Quarter 4</t>
  </si>
  <si>
    <t xml:space="preserve"> Table C6 Monthly Budget Statement - Financial Position - Quarter 4</t>
  </si>
  <si>
    <t>Quarter 4  actual</t>
  </si>
  <si>
    <t xml:space="preserve">April Receipts and payments </t>
  </si>
  <si>
    <t xml:space="preserve">May Receipts and payments </t>
  </si>
  <si>
    <t xml:space="preserve">June Receipts and payments </t>
  </si>
  <si>
    <t>FS195 Phumelela - Supporting Table SC3 Monthly Budget Statement - aged debtors - June 2017</t>
  </si>
  <si>
    <t>Balance as at 31-06-2016</t>
  </si>
  <si>
    <t>Balance as at 31-06-2017</t>
  </si>
  <si>
    <t>FS195 Phumelela - Supporting Table SC4 Monthly Budget Statement - aged creditors  - June 2017</t>
  </si>
  <si>
    <t>FS195 Phumelela - Supporting Table SC5 Monthly Budget Statement - investment portfolio  - June 2017</t>
  </si>
  <si>
    <t>FS195 Phumelela - Supporting Table SC6 Monthly Budget Statement - transfers and grant receipts  - June 2017</t>
  </si>
  <si>
    <t>FS195 Phumelela - Supporting Table SC12 Monthly Budget Statement - capital expenditure trend - June 2017</t>
  </si>
  <si>
    <t>Adjustment Budget Revenue 4th Quarter</t>
  </si>
  <si>
    <t>Actual Revenue 4th Quarter</t>
  </si>
  <si>
    <t>Adjutsment Budget 4th Quarter</t>
  </si>
  <si>
    <t>Actual Expenditure 4th Quarter</t>
  </si>
  <si>
    <t>Actual Receipts 4th Quarter</t>
  </si>
  <si>
    <t>FS195 Phumelela - Supporting Table SC2 Monthly Budget Statement - performance indicators   - 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</si>
</sst>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(* #,##0.00_);_(* \(#,##0.00\);_(* &quot;-&quot;??_);_(@_)"/>
    <numFmt numFmtId="167" formatCode="0.0%"/>
    <numFmt numFmtId="168" formatCode="#,###,;\(#,###,\)"/>
    <numFmt numFmtId="169" formatCode="#,###,,;\(#,###,,\)"/>
    <numFmt numFmtId="170" formatCode="_(* #,##0,,_);_(* \(#,##0,,\);_(* &quot;–&quot;?_);_(@_)"/>
    <numFmt numFmtId="171" formatCode="_(* #,##0,_);_(* \(#,##0,\);_(* &quot;–&quot;?_);_(@_)"/>
    <numFmt numFmtId="172" formatCode="0%;\-0%;_(* &quot;–&quot;?_);_(@_)"/>
    <numFmt numFmtId="173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i/>
      <sz val="8"/>
      <name val="Arial Narrow"/>
      <family val="2"/>
    </font>
    <font>
      <u/>
      <sz val="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00"/>
      <name val="Franklin Gothic Book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9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8">
    <xf numFmtId="0" fontId="0" fillId="0" borderId="0"/>
    <xf numFmtId="0" fontId="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65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3" fillId="23" borderId="7" applyNumberFormat="0" applyFont="0" applyAlignment="0" applyProtection="0"/>
    <xf numFmtId="0" fontId="24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165" fontId="2" fillId="0" borderId="0" applyFont="0" applyFill="0" applyBorder="0" applyAlignment="0" applyProtection="0"/>
    <xf numFmtId="0" fontId="2" fillId="23" borderId="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63">
    <xf numFmtId="0" fontId="0" fillId="0" borderId="0" xfId="0"/>
    <xf numFmtId="171" fontId="5" fillId="0" borderId="20" xfId="1" applyNumberFormat="1" applyFont="1" applyFill="1" applyBorder="1"/>
    <xf numFmtId="0" fontId="5" fillId="0" borderId="11" xfId="1" applyFont="1" applyFill="1" applyBorder="1" applyAlignment="1">
      <alignment horizontal="left" indent="1"/>
    </xf>
    <xf numFmtId="171" fontId="6" fillId="0" borderId="20" xfId="1" applyNumberFormat="1" applyFont="1" applyFill="1" applyBorder="1"/>
    <xf numFmtId="0" fontId="6" fillId="0" borderId="39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44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/>
    </xf>
    <xf numFmtId="0" fontId="6" fillId="0" borderId="47" xfId="1" applyFont="1" applyFill="1" applyBorder="1" applyAlignment="1">
      <alignment horizontal="center" vertical="center" wrapText="1"/>
    </xf>
    <xf numFmtId="9" fontId="6" fillId="0" borderId="39" xfId="41" applyFont="1" applyFill="1" applyBorder="1" applyAlignment="1">
      <alignment horizontal="center" vertical="center" wrapText="1"/>
    </xf>
    <xf numFmtId="9" fontId="6" fillId="0" borderId="22" xfId="4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/>
    </xf>
    <xf numFmtId="0" fontId="5" fillId="0" borderId="11" xfId="1" applyNumberFormat="1" applyFont="1" applyFill="1" applyBorder="1" applyAlignment="1">
      <alignment horizontal="left" indent="1"/>
    </xf>
    <xf numFmtId="171" fontId="6" fillId="0" borderId="64" xfId="49" applyNumberFormat="1" applyFont="1" applyFill="1" applyBorder="1"/>
    <xf numFmtId="171" fontId="5" fillId="0" borderId="64" xfId="49" applyNumberFormat="1" applyFont="1" applyBorder="1"/>
    <xf numFmtId="0" fontId="6" fillId="0" borderId="68" xfId="49" applyFont="1" applyBorder="1" applyAlignment="1">
      <alignment horizontal="center"/>
    </xf>
    <xf numFmtId="171" fontId="6" fillId="0" borderId="17" xfId="49" applyNumberFormat="1" applyFont="1" applyFill="1" applyBorder="1"/>
    <xf numFmtId="171" fontId="6" fillId="0" borderId="72" xfId="49" applyNumberFormat="1" applyFont="1" applyFill="1" applyBorder="1"/>
    <xf numFmtId="171" fontId="6" fillId="0" borderId="67" xfId="49" applyNumberFormat="1" applyFont="1" applyFill="1" applyBorder="1"/>
    <xf numFmtId="171" fontId="5" fillId="0" borderId="49" xfId="49" applyNumberFormat="1" applyFont="1" applyFill="1" applyBorder="1" applyProtection="1">
      <protection locked="0"/>
    </xf>
    <xf numFmtId="171" fontId="5" fillId="0" borderId="32" xfId="49" applyNumberFormat="1" applyFont="1" applyFill="1" applyBorder="1" applyProtection="1">
      <protection locked="0"/>
    </xf>
    <xf numFmtId="9" fontId="5" fillId="0" borderId="32" xfId="42" applyFont="1" applyFill="1" applyBorder="1" applyAlignment="1">
      <alignment horizontal="center"/>
    </xf>
    <xf numFmtId="0" fontId="5" fillId="0" borderId="69" xfId="49" applyFont="1" applyBorder="1" applyAlignment="1">
      <alignment horizontal="center"/>
    </xf>
    <xf numFmtId="171" fontId="5" fillId="0" borderId="56" xfId="49" applyNumberFormat="1" applyFont="1" applyFill="1" applyBorder="1" applyProtection="1">
      <protection locked="0"/>
    </xf>
    <xf numFmtId="171" fontId="5" fillId="0" borderId="41" xfId="29" applyNumberFormat="1" applyFont="1" applyFill="1" applyBorder="1" applyProtection="1">
      <protection locked="0"/>
    </xf>
    <xf numFmtId="0" fontId="6" fillId="0" borderId="34" xfId="49" applyNumberFormat="1" applyFont="1" applyFill="1" applyBorder="1" applyAlignment="1">
      <alignment horizontal="left"/>
    </xf>
    <xf numFmtId="168" fontId="6" fillId="0" borderId="42" xfId="49" applyNumberFormat="1" applyFont="1" applyFill="1" applyBorder="1"/>
    <xf numFmtId="171" fontId="5" fillId="0" borderId="42" xfId="29" applyNumberFormat="1" applyFont="1" applyFill="1" applyBorder="1" applyProtection="1">
      <protection locked="0"/>
    </xf>
    <xf numFmtId="171" fontId="6" fillId="0" borderId="69" xfId="49" applyNumberFormat="1" applyFont="1" applyFill="1" applyBorder="1"/>
    <xf numFmtId="171" fontId="6" fillId="0" borderId="74" xfId="49" applyNumberFormat="1" applyFont="1" applyFill="1" applyBorder="1"/>
    <xf numFmtId="171" fontId="6" fillId="0" borderId="68" xfId="49" applyNumberFormat="1" applyFont="1" applyFill="1" applyBorder="1"/>
    <xf numFmtId="0" fontId="6" fillId="0" borderId="69" xfId="49" applyFont="1" applyBorder="1"/>
    <xf numFmtId="0" fontId="5" fillId="0" borderId="68" xfId="49" applyFont="1" applyBorder="1" applyAlignment="1">
      <alignment horizontal="center"/>
    </xf>
    <xf numFmtId="0" fontId="6" fillId="0" borderId="17" xfId="47" applyFont="1" applyFill="1" applyBorder="1" applyAlignment="1">
      <alignment horizontal="center" vertical="top" wrapText="1"/>
    </xf>
    <xf numFmtId="170" fontId="5" fillId="0" borderId="20" xfId="47" applyNumberFormat="1" applyFont="1" applyBorder="1"/>
    <xf numFmtId="170" fontId="5" fillId="0" borderId="21" xfId="47" applyNumberFormat="1" applyFont="1" applyBorder="1"/>
    <xf numFmtId="170" fontId="5" fillId="0" borderId="22" xfId="47" applyNumberFormat="1" applyFont="1" applyBorder="1"/>
    <xf numFmtId="0" fontId="6" fillId="0" borderId="39" xfId="47" applyFont="1" applyFill="1" applyBorder="1" applyAlignment="1">
      <alignment horizontal="center" vertical="center" wrapText="1"/>
    </xf>
    <xf numFmtId="0" fontId="8" fillId="0" borderId="35" xfId="47" applyNumberFormat="1" applyFont="1" applyBorder="1"/>
    <xf numFmtId="0" fontId="5" fillId="0" borderId="10" xfId="47" applyNumberFormat="1" applyFont="1" applyBorder="1" applyAlignment="1">
      <alignment horizontal="left" indent="1"/>
    </xf>
    <xf numFmtId="0" fontId="6" fillId="0" borderId="10" xfId="47" applyNumberFormat="1" applyFont="1" applyBorder="1"/>
    <xf numFmtId="0" fontId="5" fillId="0" borderId="17" xfId="47" applyNumberFormat="1" applyFont="1" applyBorder="1"/>
    <xf numFmtId="0" fontId="8" fillId="0" borderId="10" xfId="47" applyNumberFormat="1" applyFont="1" applyBorder="1"/>
    <xf numFmtId="0" fontId="6" fillId="0" borderId="38" xfId="47" applyFont="1" applyFill="1" applyBorder="1" applyAlignment="1">
      <alignment horizontal="center" vertical="center" wrapText="1"/>
    </xf>
    <xf numFmtId="0" fontId="6" fillId="0" borderId="10" xfId="47" applyFont="1" applyFill="1" applyBorder="1" applyAlignment="1">
      <alignment horizontal="center" vertical="center" wrapText="1"/>
    </xf>
    <xf numFmtId="0" fontId="6" fillId="0" borderId="44" xfId="47" applyFont="1" applyFill="1" applyBorder="1" applyAlignment="1">
      <alignment horizontal="center" vertical="center" wrapText="1"/>
    </xf>
    <xf numFmtId="0" fontId="5" fillId="0" borderId="10" xfId="47" applyFont="1" applyFill="1" applyBorder="1"/>
    <xf numFmtId="0" fontId="5" fillId="0" borderId="17" xfId="47" applyFont="1" applyFill="1" applyBorder="1"/>
    <xf numFmtId="0" fontId="6" fillId="0" borderId="17" xfId="47" applyFont="1" applyFill="1" applyBorder="1" applyAlignment="1">
      <alignment horizontal="left" vertical="center"/>
    </xf>
    <xf numFmtId="0" fontId="5" fillId="0" borderId="24" xfId="47" applyFont="1" applyFill="1" applyBorder="1"/>
    <xf numFmtId="0" fontId="5" fillId="0" borderId="20" xfId="47" applyFont="1" applyFill="1" applyBorder="1"/>
    <xf numFmtId="0" fontId="5" fillId="0" borderId="42" xfId="47" applyFont="1" applyFill="1" applyBorder="1"/>
    <xf numFmtId="170" fontId="5" fillId="0" borderId="24" xfId="47" applyNumberFormat="1" applyFont="1" applyBorder="1"/>
    <xf numFmtId="170" fontId="5" fillId="0" borderId="10" xfId="47" applyNumberFormat="1" applyFont="1" applyBorder="1"/>
    <xf numFmtId="169" fontId="5" fillId="0" borderId="17" xfId="47" applyNumberFormat="1" applyFont="1" applyFill="1" applyBorder="1"/>
    <xf numFmtId="0" fontId="6" fillId="0" borderId="47" xfId="47" applyFont="1" applyFill="1" applyBorder="1" applyAlignment="1">
      <alignment horizontal="center" vertical="center" wrapText="1"/>
    </xf>
    <xf numFmtId="9" fontId="5" fillId="0" borderId="20" xfId="42" applyFont="1" applyFill="1" applyBorder="1" applyAlignment="1">
      <alignment horizontal="center"/>
    </xf>
    <xf numFmtId="170" fontId="5" fillId="0" borderId="42" xfId="47" applyNumberFormat="1" applyFont="1" applyBorder="1"/>
    <xf numFmtId="169" fontId="5" fillId="0" borderId="30" xfId="47" applyNumberFormat="1" applyFont="1" applyFill="1" applyBorder="1"/>
    <xf numFmtId="169" fontId="5" fillId="0" borderId="22" xfId="47" applyNumberFormat="1" applyFont="1" applyFill="1" applyBorder="1"/>
    <xf numFmtId="169" fontId="5" fillId="0" borderId="45" xfId="47" applyNumberFormat="1" applyFont="1" applyFill="1" applyBorder="1"/>
    <xf numFmtId="9" fontId="6" fillId="0" borderId="39" xfId="42" applyFont="1" applyFill="1" applyBorder="1" applyAlignment="1">
      <alignment horizontal="center" vertical="center" wrapText="1"/>
    </xf>
    <xf numFmtId="172" fontId="5" fillId="0" borderId="20" xfId="42" applyNumberFormat="1" applyFont="1" applyBorder="1"/>
    <xf numFmtId="172" fontId="5" fillId="0" borderId="32" xfId="42" applyNumberFormat="1" applyFont="1" applyBorder="1"/>
    <xf numFmtId="170" fontId="5" fillId="0" borderId="17" xfId="47" applyNumberFormat="1" applyFont="1" applyBorder="1"/>
    <xf numFmtId="170" fontId="5" fillId="0" borderId="30" xfId="47" applyNumberFormat="1" applyFont="1" applyBorder="1"/>
    <xf numFmtId="172" fontId="5" fillId="0" borderId="22" xfId="42" applyNumberFormat="1" applyFont="1" applyBorder="1"/>
    <xf numFmtId="170" fontId="5" fillId="0" borderId="45" xfId="47" applyNumberFormat="1" applyFont="1" applyBorder="1"/>
    <xf numFmtId="170" fontId="5" fillId="0" borderId="35" xfId="47" applyNumberFormat="1" applyFont="1" applyBorder="1"/>
    <xf numFmtId="170" fontId="5" fillId="0" borderId="23" xfId="47" applyNumberFormat="1" applyFont="1" applyBorder="1"/>
    <xf numFmtId="172" fontId="5" fillId="0" borderId="21" xfId="42" applyNumberFormat="1" applyFont="1" applyBorder="1"/>
    <xf numFmtId="170" fontId="5" fillId="0" borderId="48" xfId="47" applyNumberFormat="1" applyFont="1" applyBorder="1"/>
    <xf numFmtId="170" fontId="5" fillId="24" borderId="20" xfId="47" applyNumberFormat="1" applyFont="1" applyFill="1" applyBorder="1"/>
    <xf numFmtId="170" fontId="5" fillId="24" borderId="22" xfId="47" applyNumberFormat="1" applyFont="1" applyFill="1" applyBorder="1"/>
    <xf numFmtId="172" fontId="5" fillId="24" borderId="20" xfId="42" applyNumberFormat="1" applyFont="1" applyFill="1" applyBorder="1"/>
    <xf numFmtId="172" fontId="5" fillId="24" borderId="22" xfId="42" applyNumberFormat="1" applyFont="1" applyFill="1" applyBorder="1"/>
    <xf numFmtId="0" fontId="5" fillId="0" borderId="49" xfId="47" applyNumberFormat="1" applyFont="1" applyBorder="1" applyAlignment="1">
      <alignment horizontal="left" indent="1"/>
    </xf>
    <xf numFmtId="9" fontId="6" fillId="0" borderId="22" xfId="42" applyFont="1" applyFill="1" applyBorder="1" applyAlignment="1">
      <alignment horizontal="center" vertical="center"/>
    </xf>
    <xf numFmtId="0" fontId="8" fillId="0" borderId="10" xfId="47" applyFont="1" applyFill="1" applyBorder="1"/>
    <xf numFmtId="0" fontId="4" fillId="0" borderId="13" xfId="47" applyFont="1" applyFill="1" applyBorder="1" applyAlignment="1"/>
    <xf numFmtId="0" fontId="6" fillId="0" borderId="10" xfId="47" applyNumberFormat="1" applyFont="1" applyBorder="1" applyAlignment="1">
      <alignment wrapText="1"/>
    </xf>
    <xf numFmtId="0" fontId="5" fillId="0" borderId="10" xfId="47" applyNumberFormat="1" applyFont="1" applyBorder="1" applyAlignment="1">
      <alignment horizontal="left" wrapText="1" indent="1"/>
    </xf>
    <xf numFmtId="0" fontId="6" fillId="0" borderId="17" xfId="47" applyNumberFormat="1" applyFont="1" applyBorder="1"/>
    <xf numFmtId="172" fontId="6" fillId="0" borderId="32" xfId="42" applyNumberFormat="1" applyFont="1" applyBorder="1"/>
    <xf numFmtId="171" fontId="5" fillId="0" borderId="20" xfId="47" applyNumberFormat="1" applyFont="1" applyFill="1" applyBorder="1" applyProtection="1"/>
    <xf numFmtId="171" fontId="5" fillId="0" borderId="32" xfId="47" applyNumberFormat="1" applyFont="1" applyFill="1" applyBorder="1" applyProtection="1"/>
    <xf numFmtId="0" fontId="5" fillId="0" borderId="10" xfId="47" applyFont="1" applyFill="1" applyBorder="1" applyAlignment="1">
      <alignment horizontal="left" indent="1"/>
    </xf>
    <xf numFmtId="0" fontId="6" fillId="0" borderId="10" xfId="47" applyFont="1" applyFill="1" applyBorder="1" applyAlignment="1">
      <alignment wrapText="1"/>
    </xf>
    <xf numFmtId="0" fontId="6" fillId="0" borderId="10" xfId="47" applyFont="1" applyFill="1" applyBorder="1"/>
    <xf numFmtId="172" fontId="5" fillId="0" borderId="41" xfId="42" applyNumberFormat="1" applyFont="1" applyBorder="1"/>
    <xf numFmtId="170" fontId="6" fillId="24" borderId="20" xfId="47" applyNumberFormat="1" applyFont="1" applyFill="1" applyBorder="1"/>
    <xf numFmtId="172" fontId="6" fillId="24" borderId="20" xfId="42" applyNumberFormat="1" applyFont="1" applyFill="1" applyBorder="1"/>
    <xf numFmtId="171" fontId="6" fillId="0" borderId="20" xfId="47" applyNumberFormat="1" applyFont="1" applyFill="1" applyBorder="1" applyProtection="1"/>
    <xf numFmtId="171" fontId="6" fillId="0" borderId="42" xfId="47" applyNumberFormat="1" applyFont="1" applyFill="1" applyBorder="1" applyProtection="1"/>
    <xf numFmtId="171" fontId="5" fillId="0" borderId="42" xfId="47" applyNumberFormat="1" applyFont="1" applyFill="1" applyBorder="1" applyProtection="1"/>
    <xf numFmtId="171" fontId="5" fillId="0" borderId="10" xfId="47" applyNumberFormat="1" applyFont="1" applyFill="1" applyBorder="1" applyProtection="1"/>
    <xf numFmtId="171" fontId="5" fillId="0" borderId="24" xfId="47" applyNumberFormat="1" applyFont="1" applyFill="1" applyBorder="1" applyProtection="1"/>
    <xf numFmtId="171" fontId="5" fillId="0" borderId="33" xfId="47" applyNumberFormat="1" applyFont="1" applyFill="1" applyBorder="1" applyProtection="1"/>
    <xf numFmtId="171" fontId="5" fillId="0" borderId="49" xfId="47" applyNumberFormat="1" applyFont="1" applyFill="1" applyBorder="1" applyProtection="1"/>
    <xf numFmtId="171" fontId="5" fillId="0" borderId="61" xfId="47" applyNumberFormat="1" applyFont="1" applyFill="1" applyBorder="1" applyProtection="1"/>
    <xf numFmtId="171" fontId="5" fillId="0" borderId="65" xfId="47" applyNumberFormat="1" applyFont="1" applyFill="1" applyBorder="1" applyProtection="1"/>
    <xf numFmtId="171" fontId="5" fillId="0" borderId="46" xfId="47" applyNumberFormat="1" applyFont="1" applyFill="1" applyBorder="1" applyProtection="1"/>
    <xf numFmtId="171" fontId="6" fillId="0" borderId="49" xfId="47" applyNumberFormat="1" applyFont="1" applyFill="1" applyBorder="1" applyProtection="1"/>
    <xf numFmtId="171" fontId="6" fillId="0" borderId="61" xfId="47" applyNumberFormat="1" applyFont="1" applyFill="1" applyBorder="1" applyProtection="1"/>
    <xf numFmtId="171" fontId="6" fillId="0" borderId="32" xfId="47" applyNumberFormat="1" applyFont="1" applyFill="1" applyBorder="1" applyProtection="1"/>
    <xf numFmtId="171" fontId="6" fillId="0" borderId="65" xfId="47" applyNumberFormat="1" applyFont="1" applyFill="1" applyBorder="1" applyProtection="1"/>
    <xf numFmtId="171" fontId="6" fillId="0" borderId="46" xfId="47" applyNumberFormat="1" applyFont="1" applyFill="1" applyBorder="1" applyProtection="1"/>
    <xf numFmtId="171" fontId="6" fillId="0" borderId="10" xfId="47" applyNumberFormat="1" applyFont="1" applyFill="1" applyBorder="1" applyProtection="1"/>
    <xf numFmtId="171" fontId="6" fillId="0" borderId="24" xfId="47" applyNumberFormat="1" applyFont="1" applyFill="1" applyBorder="1" applyProtection="1"/>
    <xf numFmtId="171" fontId="6" fillId="0" borderId="71" xfId="49" applyNumberFormat="1" applyFont="1" applyFill="1" applyBorder="1"/>
    <xf numFmtId="171" fontId="6" fillId="0" borderId="73" xfId="49" applyNumberFormat="1" applyFont="1" applyFill="1" applyBorder="1"/>
    <xf numFmtId="171" fontId="5" fillId="0" borderId="20" xfId="29" applyNumberFormat="1" applyFont="1" applyFill="1" applyBorder="1" applyProtection="1">
      <protection locked="0"/>
    </xf>
    <xf numFmtId="171" fontId="6" fillId="0" borderId="64" xfId="49" applyNumberFormat="1" applyFont="1" applyBorder="1"/>
    <xf numFmtId="0" fontId="5" fillId="0" borderId="64" xfId="49" applyFont="1" applyFill="1" applyBorder="1" applyAlignment="1">
      <alignment horizontal="center"/>
    </xf>
    <xf numFmtId="0" fontId="6" fillId="0" borderId="63" xfId="49" applyFont="1" applyBorder="1" applyAlignment="1">
      <alignment horizontal="left"/>
    </xf>
    <xf numFmtId="0" fontId="6" fillId="0" borderId="15" xfId="49" applyFont="1" applyFill="1" applyBorder="1" applyAlignment="1">
      <alignment horizontal="left" vertical="center"/>
    </xf>
    <xf numFmtId="0" fontId="6" fillId="0" borderId="38" xfId="49" applyFont="1" applyFill="1" applyBorder="1" applyAlignment="1">
      <alignment horizontal="centerContinuous" vertical="center" wrapText="1"/>
    </xf>
    <xf numFmtId="0" fontId="6" fillId="0" borderId="39" xfId="49" applyFont="1" applyFill="1" applyBorder="1" applyAlignment="1">
      <alignment horizontal="center" vertical="center" wrapText="1"/>
    </xf>
    <xf numFmtId="0" fontId="6" fillId="0" borderId="10" xfId="49" applyFont="1" applyFill="1" applyBorder="1" applyAlignment="1">
      <alignment horizontal="center" vertical="center" wrapText="1"/>
    </xf>
    <xf numFmtId="0" fontId="6" fillId="0" borderId="44" xfId="49" applyFont="1" applyFill="1" applyBorder="1" applyAlignment="1">
      <alignment horizontal="center" vertical="center" wrapText="1"/>
    </xf>
    <xf numFmtId="0" fontId="5" fillId="0" borderId="17" xfId="49" applyFont="1" applyFill="1" applyBorder="1" applyAlignment="1">
      <alignment horizontal="center" vertical="center"/>
    </xf>
    <xf numFmtId="9" fontId="6" fillId="0" borderId="39" xfId="42" applyFont="1" applyFill="1" applyBorder="1" applyAlignment="1">
      <alignment horizontal="center" vertical="center" wrapText="1"/>
    </xf>
    <xf numFmtId="0" fontId="5" fillId="0" borderId="45" xfId="49" applyFont="1" applyFill="1" applyBorder="1" applyAlignment="1">
      <alignment horizontal="center" vertical="center"/>
    </xf>
    <xf numFmtId="0" fontId="6" fillId="0" borderId="19" xfId="49" applyFont="1" applyFill="1" applyBorder="1" applyAlignment="1">
      <alignment horizontal="centerContinuous" vertical="center" wrapText="1"/>
    </xf>
    <xf numFmtId="0" fontId="6" fillId="0" borderId="40" xfId="49" applyFont="1" applyFill="1" applyBorder="1" applyAlignment="1">
      <alignment horizontal="centerContinuous" vertical="center" wrapText="1"/>
    </xf>
    <xf numFmtId="9" fontId="6" fillId="0" borderId="22" xfId="42" applyFont="1" applyFill="1" applyBorder="1" applyAlignment="1">
      <alignment horizontal="center" vertical="center"/>
    </xf>
    <xf numFmtId="0" fontId="6" fillId="0" borderId="52" xfId="49" applyFont="1" applyFill="1" applyBorder="1" applyAlignment="1">
      <alignment horizontal="centerContinuous" vertical="center" wrapText="1"/>
    </xf>
    <xf numFmtId="0" fontId="6" fillId="0" borderId="55" xfId="49" applyFont="1" applyFill="1" applyBorder="1" applyAlignment="1">
      <alignment horizontal="center" vertical="center" wrapText="1"/>
    </xf>
    <xf numFmtId="0" fontId="5" fillId="0" borderId="45" xfId="49" applyFont="1" applyBorder="1" applyAlignment="1">
      <alignment horizontal="center"/>
    </xf>
    <xf numFmtId="0" fontId="8" fillId="0" borderId="11" xfId="49" applyFont="1" applyBorder="1"/>
    <xf numFmtId="0" fontId="6" fillId="0" borderId="11" xfId="49" applyFont="1" applyBorder="1" applyAlignment="1">
      <alignment horizontal="left"/>
    </xf>
    <xf numFmtId="0" fontId="5" fillId="0" borderId="11" xfId="49" applyFont="1" applyBorder="1"/>
    <xf numFmtId="171" fontId="5" fillId="0" borderId="20" xfId="49" applyNumberFormat="1" applyFont="1" applyBorder="1"/>
    <xf numFmtId="171" fontId="5" fillId="0" borderId="20" xfId="49" applyNumberFormat="1" applyFont="1" applyFill="1" applyBorder="1"/>
    <xf numFmtId="171" fontId="5" fillId="0" borderId="32" xfId="49" applyNumberFormat="1" applyFont="1" applyFill="1" applyBorder="1"/>
    <xf numFmtId="0" fontId="6" fillId="0" borderId="11" xfId="49" applyFont="1" applyBorder="1" applyAlignment="1">
      <alignment horizontal="left" indent="1"/>
    </xf>
    <xf numFmtId="0" fontId="5" fillId="0" borderId="11" xfId="49" applyFont="1" applyBorder="1" applyAlignment="1">
      <alignment horizontal="left" indent="2"/>
    </xf>
    <xf numFmtId="171" fontId="5" fillId="0" borderId="10" xfId="49" applyNumberFormat="1" applyFont="1" applyBorder="1"/>
    <xf numFmtId="171" fontId="5" fillId="0" borderId="42" xfId="49" applyNumberFormat="1" applyFont="1" applyBorder="1"/>
    <xf numFmtId="0" fontId="5" fillId="0" borderId="10" xfId="49" applyFont="1" applyBorder="1" applyAlignment="1">
      <alignment horizontal="center"/>
    </xf>
    <xf numFmtId="9" fontId="5" fillId="0" borderId="20" xfId="42" applyFont="1" applyFill="1" applyBorder="1" applyAlignment="1">
      <alignment horizontal="center"/>
    </xf>
    <xf numFmtId="0" fontId="5" fillId="0" borderId="49" xfId="49" applyFont="1" applyBorder="1" applyAlignment="1">
      <alignment horizontal="center"/>
    </xf>
    <xf numFmtId="171" fontId="5" fillId="0" borderId="41" xfId="49" applyNumberFormat="1" applyFont="1" applyBorder="1"/>
    <xf numFmtId="0" fontId="6" fillId="0" borderId="63" xfId="49" applyFont="1" applyBorder="1"/>
    <xf numFmtId="9" fontId="5" fillId="0" borderId="20" xfId="42" applyFont="1" applyBorder="1" applyAlignment="1">
      <alignment horizontal="center"/>
    </xf>
    <xf numFmtId="171" fontId="5" fillId="0" borderId="42" xfId="49" applyNumberFormat="1" applyFont="1" applyFill="1" applyBorder="1"/>
    <xf numFmtId="0" fontId="5" fillId="0" borderId="11" xfId="49" applyFont="1" applyFill="1" applyBorder="1" applyAlignment="1" applyProtection="1">
      <alignment horizontal="left" indent="1"/>
    </xf>
    <xf numFmtId="0" fontId="7" fillId="0" borderId="11" xfId="49" applyNumberFormat="1" applyFont="1" applyFill="1" applyBorder="1" applyAlignment="1" applyProtection="1">
      <alignment horizontal="left" indent="1"/>
    </xf>
    <xf numFmtId="0" fontId="5" fillId="0" borderId="11" xfId="49" applyNumberFormat="1" applyFont="1" applyFill="1" applyBorder="1" applyAlignment="1" applyProtection="1">
      <alignment horizontal="left" indent="2"/>
    </xf>
    <xf numFmtId="0" fontId="5" fillId="0" borderId="42" xfId="49" applyFont="1" applyBorder="1" applyAlignment="1">
      <alignment horizontal="center"/>
    </xf>
    <xf numFmtId="0" fontId="5" fillId="0" borderId="42" xfId="49" applyFont="1" applyFill="1" applyBorder="1" applyAlignment="1">
      <alignment horizontal="center"/>
    </xf>
    <xf numFmtId="171" fontId="5" fillId="0" borderId="10" xfId="49" applyNumberFormat="1" applyFont="1" applyFill="1" applyBorder="1"/>
    <xf numFmtId="171" fontId="5" fillId="0" borderId="41" xfId="49" applyNumberFormat="1" applyFont="1" applyFill="1" applyBorder="1"/>
    <xf numFmtId="171" fontId="5" fillId="0" borderId="10" xfId="49" applyNumberFormat="1" applyFont="1" applyFill="1" applyBorder="1" applyProtection="1">
      <protection locked="0"/>
    </xf>
    <xf numFmtId="171" fontId="5" fillId="0" borderId="41" xfId="49" applyNumberFormat="1" applyFont="1" applyFill="1" applyBorder="1" applyProtection="1">
      <protection locked="0"/>
    </xf>
    <xf numFmtId="171" fontId="5" fillId="0" borderId="20" xfId="49" applyNumberFormat="1" applyFont="1" applyFill="1" applyBorder="1" applyProtection="1">
      <protection locked="0"/>
    </xf>
    <xf numFmtId="171" fontId="5" fillId="0" borderId="42" xfId="49" applyNumberFormat="1" applyFont="1" applyFill="1" applyBorder="1" applyProtection="1">
      <protection locked="0"/>
    </xf>
    <xf numFmtId="0" fontId="5" fillId="0" borderId="11" xfId="49" applyFont="1" applyFill="1" applyBorder="1" applyAlignment="1">
      <alignment horizontal="left" indent="2"/>
    </xf>
    <xf numFmtId="171" fontId="6" fillId="0" borderId="41" xfId="49" applyNumberFormat="1" applyFont="1" applyFill="1" applyBorder="1" applyProtection="1"/>
    <xf numFmtId="0" fontId="6" fillId="0" borderId="11" xfId="49" applyFont="1" applyFill="1" applyBorder="1" applyAlignment="1">
      <alignment horizontal="left" indent="1"/>
    </xf>
    <xf numFmtId="164" fontId="5" fillId="0" borderId="34" xfId="49" applyNumberFormat="1" applyFont="1" applyFill="1" applyBorder="1"/>
    <xf numFmtId="0" fontId="6" fillId="0" borderId="23" xfId="49" applyFont="1" applyFill="1" applyBorder="1" applyAlignment="1">
      <alignment horizontal="center"/>
    </xf>
    <xf numFmtId="171" fontId="5" fillId="0" borderId="30" xfId="49" applyNumberFormat="1" applyFont="1" applyFill="1" applyBorder="1"/>
    <xf numFmtId="171" fontId="6" fillId="0" borderId="66" xfId="49" applyNumberFormat="1" applyFont="1" applyFill="1" applyBorder="1"/>
    <xf numFmtId="0" fontId="5" fillId="0" borderId="54" xfId="49" applyFont="1" applyFill="1" applyBorder="1"/>
    <xf numFmtId="0" fontId="8" fillId="0" borderId="11" xfId="49" applyNumberFormat="1" applyFont="1" applyFill="1" applyBorder="1"/>
    <xf numFmtId="0" fontId="5" fillId="0" borderId="11" xfId="49" applyFont="1" applyFill="1" applyBorder="1" applyAlignment="1" applyProtection="1">
      <alignment horizontal="left" indent="2"/>
      <protection locked="0"/>
    </xf>
    <xf numFmtId="171" fontId="6" fillId="0" borderId="47" xfId="49" applyNumberFormat="1" applyFont="1" applyFill="1" applyBorder="1" applyProtection="1">
      <protection locked="0"/>
    </xf>
    <xf numFmtId="164" fontId="5" fillId="0" borderId="10" xfId="49" applyNumberFormat="1" applyFont="1" applyFill="1" applyBorder="1" applyProtection="1">
      <protection locked="0"/>
    </xf>
    <xf numFmtId="171" fontId="6" fillId="0" borderId="44" xfId="49" applyNumberFormat="1" applyFont="1" applyFill="1" applyBorder="1" applyProtection="1">
      <protection locked="0"/>
    </xf>
    <xf numFmtId="0" fontId="6" fillId="0" borderId="36" xfId="49" applyNumberFormat="1" applyFont="1" applyFill="1" applyBorder="1" applyAlignment="1">
      <alignment horizontal="left"/>
    </xf>
    <xf numFmtId="0" fontId="6" fillId="0" borderId="70" xfId="49" applyFont="1" applyFill="1" applyBorder="1"/>
    <xf numFmtId="0" fontId="5" fillId="0" borderId="49" xfId="49" applyFont="1" applyFill="1" applyBorder="1" applyAlignment="1">
      <alignment horizontal="center"/>
    </xf>
    <xf numFmtId="0" fontId="8" fillId="0" borderId="11" xfId="49" applyFont="1" applyFill="1" applyBorder="1"/>
    <xf numFmtId="168" fontId="5" fillId="0" borderId="42" xfId="49" applyNumberFormat="1" applyFont="1" applyFill="1" applyBorder="1"/>
    <xf numFmtId="168" fontId="5" fillId="0" borderId="41" xfId="49" applyNumberFormat="1" applyFont="1" applyFill="1" applyBorder="1"/>
    <xf numFmtId="0" fontId="6" fillId="0" borderId="48" xfId="49" applyFont="1" applyFill="1" applyBorder="1" applyAlignment="1">
      <alignment horizontal="center"/>
    </xf>
    <xf numFmtId="0" fontId="5" fillId="0" borderId="35" xfId="49" applyFont="1" applyFill="1" applyBorder="1" applyAlignment="1">
      <alignment horizontal="center"/>
    </xf>
    <xf numFmtId="0" fontId="5" fillId="0" borderId="22" xfId="49" applyFont="1" applyFill="1" applyBorder="1"/>
    <xf numFmtId="0" fontId="5" fillId="0" borderId="17" xfId="49" applyFont="1" applyFill="1" applyBorder="1" applyAlignment="1">
      <alignment horizontal="center"/>
    </xf>
    <xf numFmtId="0" fontId="6" fillId="0" borderId="63" xfId="49" applyFont="1" applyFill="1" applyBorder="1"/>
    <xf numFmtId="0" fontId="10" fillId="0" borderId="10" xfId="49" applyFont="1" applyFill="1" applyBorder="1" applyAlignment="1">
      <alignment horizontal="center"/>
    </xf>
    <xf numFmtId="0" fontId="6" fillId="0" borderId="15" xfId="49" applyFont="1" applyFill="1" applyBorder="1"/>
    <xf numFmtId="0" fontId="5" fillId="0" borderId="32" xfId="49" applyFont="1" applyFill="1" applyBorder="1"/>
    <xf numFmtId="0" fontId="5" fillId="0" borderId="30" xfId="49" applyFont="1" applyFill="1" applyBorder="1"/>
    <xf numFmtId="171" fontId="5" fillId="0" borderId="24" xfId="49" applyNumberFormat="1" applyFont="1" applyFill="1" applyBorder="1"/>
    <xf numFmtId="171" fontId="5" fillId="0" borderId="22" xfId="49" applyNumberFormat="1" applyFont="1" applyFill="1" applyBorder="1"/>
    <xf numFmtId="164" fontId="5" fillId="0" borderId="62" xfId="49" applyNumberFormat="1" applyFont="1" applyFill="1" applyBorder="1" applyProtection="1">
      <protection locked="0"/>
    </xf>
    <xf numFmtId="0" fontId="5" fillId="0" borderId="0" xfId="49" applyFont="1" applyFill="1" applyProtection="1">
      <protection locked="0"/>
    </xf>
    <xf numFmtId="0" fontId="5" fillId="0" borderId="69" xfId="49" applyFont="1" applyFill="1" applyBorder="1" applyAlignment="1">
      <alignment horizontal="center"/>
    </xf>
    <xf numFmtId="0" fontId="5" fillId="0" borderId="50" xfId="49" applyFont="1" applyFill="1" applyBorder="1" applyAlignment="1">
      <alignment horizontal="center"/>
    </xf>
    <xf numFmtId="168" fontId="5" fillId="0" borderId="20" xfId="49" applyNumberFormat="1" applyFont="1" applyFill="1" applyBorder="1"/>
    <xf numFmtId="0" fontId="6" fillId="0" borderId="35" xfId="49" applyFont="1" applyFill="1" applyBorder="1" applyAlignment="1">
      <alignment horizontal="center"/>
    </xf>
    <xf numFmtId="0" fontId="6" fillId="0" borderId="57" xfId="49" applyFont="1" applyFill="1" applyBorder="1" applyAlignment="1">
      <alignment horizontal="center"/>
    </xf>
    <xf numFmtId="0" fontId="8" fillId="0" borderId="14" xfId="49" applyFont="1" applyFill="1" applyBorder="1"/>
    <xf numFmtId="0" fontId="5" fillId="0" borderId="53" xfId="49" applyFont="1" applyFill="1" applyBorder="1"/>
    <xf numFmtId="0" fontId="6" fillId="0" borderId="15" xfId="49" applyFont="1" applyFill="1" applyBorder="1" applyAlignment="1">
      <alignment horizontal="left" vertical="center"/>
    </xf>
    <xf numFmtId="171" fontId="5" fillId="0" borderId="20" xfId="49" applyNumberFormat="1" applyFont="1" applyFill="1" applyBorder="1"/>
    <xf numFmtId="0" fontId="5" fillId="0" borderId="22" xfId="49" applyFont="1" applyFill="1" applyBorder="1" applyAlignment="1">
      <alignment horizontal="center" vertical="center"/>
    </xf>
    <xf numFmtId="0" fontId="5" fillId="0" borderId="11" xfId="49" applyFont="1" applyFill="1" applyBorder="1" applyAlignment="1">
      <alignment horizontal="left" indent="1"/>
    </xf>
    <xf numFmtId="0" fontId="6" fillId="0" borderId="11" xfId="49" applyFont="1" applyFill="1" applyBorder="1"/>
    <xf numFmtId="0" fontId="5" fillId="0" borderId="11" xfId="49" applyFont="1" applyFill="1" applyBorder="1"/>
    <xf numFmtId="0" fontId="6" fillId="0" borderId="35" xfId="49" applyFont="1" applyFill="1" applyBorder="1" applyAlignment="1">
      <alignment horizontal="center" vertical="center" wrapText="1"/>
    </xf>
    <xf numFmtId="0" fontId="6" fillId="0" borderId="39" xfId="49" applyFont="1" applyFill="1" applyBorder="1" applyAlignment="1">
      <alignment horizontal="center" vertical="center" wrapText="1"/>
    </xf>
    <xf numFmtId="0" fontId="6" fillId="0" borderId="44" xfId="49" applyFont="1" applyFill="1" applyBorder="1" applyAlignment="1">
      <alignment horizontal="center" vertical="center" wrapText="1"/>
    </xf>
    <xf numFmtId="0" fontId="5" fillId="0" borderId="10" xfId="49" applyFont="1" applyFill="1" applyBorder="1" applyAlignment="1">
      <alignment horizontal="center"/>
    </xf>
    <xf numFmtId="0" fontId="5" fillId="0" borderId="17" xfId="49" applyFont="1" applyFill="1" applyBorder="1" applyAlignment="1">
      <alignment horizontal="center" vertical="center"/>
    </xf>
    <xf numFmtId="0" fontId="5" fillId="0" borderId="45" xfId="49" applyFont="1" applyFill="1" applyBorder="1" applyAlignment="1">
      <alignment horizontal="center" vertical="center"/>
    </xf>
    <xf numFmtId="0" fontId="6" fillId="0" borderId="19" xfId="49" applyFont="1" applyFill="1" applyBorder="1" applyAlignment="1">
      <alignment horizontal="centerContinuous" vertical="center" wrapText="1"/>
    </xf>
    <xf numFmtId="0" fontId="6" fillId="0" borderId="40" xfId="49" applyFont="1" applyFill="1" applyBorder="1" applyAlignment="1">
      <alignment horizontal="centerContinuous" vertical="center" wrapText="1"/>
    </xf>
    <xf numFmtId="0" fontId="6" fillId="0" borderId="52" xfId="49" applyFont="1" applyFill="1" applyBorder="1" applyAlignment="1">
      <alignment horizontal="centerContinuous" vertical="center" wrapText="1"/>
    </xf>
    <xf numFmtId="0" fontId="6" fillId="0" borderId="55" xfId="49" applyFont="1" applyFill="1" applyBorder="1" applyAlignment="1">
      <alignment horizontal="center" vertical="center" wrapText="1"/>
    </xf>
    <xf numFmtId="171" fontId="5" fillId="0" borderId="42" xfId="49" applyNumberFormat="1" applyFont="1" applyFill="1" applyBorder="1"/>
    <xf numFmtId="168" fontId="5" fillId="0" borderId="10" xfId="49" applyNumberFormat="1" applyFont="1" applyFill="1" applyBorder="1"/>
    <xf numFmtId="171" fontId="5" fillId="0" borderId="10" xfId="49" applyNumberFormat="1" applyFont="1" applyFill="1" applyBorder="1"/>
    <xf numFmtId="171" fontId="5" fillId="0" borderId="41" xfId="49" applyNumberFormat="1" applyFont="1" applyFill="1" applyBorder="1"/>
    <xf numFmtId="171" fontId="5" fillId="0" borderId="10" xfId="49" applyNumberFormat="1" applyFont="1" applyFill="1" applyBorder="1" applyProtection="1">
      <protection locked="0"/>
    </xf>
    <xf numFmtId="171" fontId="5" fillId="0" borderId="20" xfId="49" applyNumberFormat="1" applyFont="1" applyFill="1" applyBorder="1" applyProtection="1">
      <protection locked="0"/>
    </xf>
    <xf numFmtId="171" fontId="5" fillId="0" borderId="42" xfId="49" applyNumberFormat="1" applyFont="1" applyFill="1" applyBorder="1" applyProtection="1">
      <protection locked="0"/>
    </xf>
    <xf numFmtId="0" fontId="6" fillId="0" borderId="21" xfId="49" applyFont="1" applyFill="1" applyBorder="1" applyAlignment="1">
      <alignment horizontal="center"/>
    </xf>
    <xf numFmtId="171" fontId="6" fillId="0" borderId="22" xfId="49" applyNumberFormat="1" applyFont="1" applyFill="1" applyBorder="1"/>
    <xf numFmtId="171" fontId="6" fillId="0" borderId="45" xfId="49" applyNumberFormat="1" applyFont="1" applyFill="1" applyBorder="1"/>
    <xf numFmtId="171" fontId="6" fillId="0" borderId="53" xfId="49" applyNumberFormat="1" applyFont="1" applyFill="1" applyBorder="1"/>
    <xf numFmtId="164" fontId="5" fillId="0" borderId="49" xfId="49" applyNumberFormat="1" applyFont="1" applyFill="1" applyBorder="1"/>
    <xf numFmtId="168" fontId="6" fillId="0" borderId="20" xfId="49" applyNumberFormat="1" applyFont="1" applyFill="1" applyBorder="1"/>
    <xf numFmtId="164" fontId="5" fillId="0" borderId="10" xfId="49" applyNumberFormat="1" applyFont="1" applyFill="1" applyBorder="1"/>
    <xf numFmtId="0" fontId="0" fillId="0" borderId="0" xfId="0" applyFill="1"/>
    <xf numFmtId="0" fontId="5" fillId="0" borderId="62" xfId="49" applyFont="1" applyFill="1" applyBorder="1" applyAlignment="1">
      <alignment horizontal="center"/>
    </xf>
    <xf numFmtId="164" fontId="6" fillId="0" borderId="50" xfId="49" applyNumberFormat="1" applyFont="1" applyFill="1" applyBorder="1"/>
    <xf numFmtId="171" fontId="5" fillId="0" borderId="45" xfId="49" applyNumberFormat="1" applyFont="1" applyFill="1" applyBorder="1"/>
    <xf numFmtId="171" fontId="5" fillId="0" borderId="17" xfId="49" applyNumberFormat="1" applyFont="1" applyFill="1" applyBorder="1"/>
    <xf numFmtId="168" fontId="5" fillId="0" borderId="24" xfId="49" applyNumberFormat="1" applyFont="1" applyFill="1" applyBorder="1"/>
    <xf numFmtId="0" fontId="6" fillId="0" borderId="14" xfId="49" applyFont="1" applyFill="1" applyBorder="1"/>
    <xf numFmtId="0" fontId="6" fillId="0" borderId="15" xfId="49" applyFont="1" applyFill="1" applyBorder="1" applyAlignment="1">
      <alignment horizontal="left" vertical="center"/>
    </xf>
    <xf numFmtId="171" fontId="5" fillId="0" borderId="20" xfId="49" applyNumberFormat="1" applyFont="1" applyFill="1" applyBorder="1"/>
    <xf numFmtId="0" fontId="5" fillId="0" borderId="22" xfId="49" applyFont="1" applyFill="1" applyBorder="1" applyAlignment="1">
      <alignment horizontal="center" vertical="center"/>
    </xf>
    <xf numFmtId="0" fontId="5" fillId="0" borderId="11" xfId="49" applyFont="1" applyFill="1" applyBorder="1" applyAlignment="1">
      <alignment horizontal="left" indent="1"/>
    </xf>
    <xf numFmtId="0" fontId="6" fillId="0" borderId="11" xfId="49" applyFont="1" applyFill="1" applyBorder="1"/>
    <xf numFmtId="0" fontId="5" fillId="0" borderId="11" xfId="49" applyFont="1" applyFill="1" applyBorder="1"/>
    <xf numFmtId="0" fontId="6" fillId="0" borderId="38" xfId="49" applyFont="1" applyFill="1" applyBorder="1" applyAlignment="1">
      <alignment horizontal="centerContinuous" vertical="center" wrapText="1"/>
    </xf>
    <xf numFmtId="0" fontId="6" fillId="0" borderId="39" xfId="49" applyFont="1" applyFill="1" applyBorder="1" applyAlignment="1">
      <alignment horizontal="center" vertical="center" wrapText="1"/>
    </xf>
    <xf numFmtId="0" fontId="6" fillId="0" borderId="10" xfId="49" applyFont="1" applyFill="1" applyBorder="1" applyAlignment="1">
      <alignment horizontal="center" vertical="center" wrapText="1"/>
    </xf>
    <xf numFmtId="0" fontId="6" fillId="0" borderId="44" xfId="49" applyFont="1" applyFill="1" applyBorder="1" applyAlignment="1">
      <alignment horizontal="center" vertical="center" wrapText="1"/>
    </xf>
    <xf numFmtId="0" fontId="5" fillId="0" borderId="10" xfId="49" applyFont="1" applyFill="1" applyBorder="1" applyAlignment="1">
      <alignment horizontal="center"/>
    </xf>
    <xf numFmtId="0" fontId="5" fillId="0" borderId="17" xfId="49" applyFont="1" applyFill="1" applyBorder="1" applyAlignment="1">
      <alignment horizontal="center" vertical="center"/>
    </xf>
    <xf numFmtId="0" fontId="6" fillId="0" borderId="47" xfId="49" applyFont="1" applyFill="1" applyBorder="1" applyAlignment="1">
      <alignment horizontal="center" vertical="center" wrapText="1"/>
    </xf>
    <xf numFmtId="9" fontId="5" fillId="0" borderId="20" xfId="42" applyFont="1" applyFill="1" applyBorder="1" applyAlignment="1">
      <alignment horizontal="center"/>
    </xf>
    <xf numFmtId="9" fontId="6" fillId="0" borderId="39" xfId="42" applyFont="1" applyFill="1" applyBorder="1" applyAlignment="1">
      <alignment horizontal="center" vertical="center" wrapText="1"/>
    </xf>
    <xf numFmtId="0" fontId="5" fillId="0" borderId="45" xfId="49" applyFont="1" applyFill="1" applyBorder="1" applyAlignment="1">
      <alignment horizontal="center" vertical="center"/>
    </xf>
    <xf numFmtId="0" fontId="6" fillId="0" borderId="19" xfId="49" applyFont="1" applyFill="1" applyBorder="1" applyAlignment="1">
      <alignment horizontal="centerContinuous" vertical="center" wrapText="1"/>
    </xf>
    <xf numFmtId="0" fontId="6" fillId="0" borderId="40" xfId="49" applyFont="1" applyFill="1" applyBorder="1" applyAlignment="1">
      <alignment horizontal="centerContinuous" vertical="center" wrapText="1"/>
    </xf>
    <xf numFmtId="9" fontId="6" fillId="0" borderId="22" xfId="42" applyFont="1" applyFill="1" applyBorder="1" applyAlignment="1">
      <alignment horizontal="center" vertical="center"/>
    </xf>
    <xf numFmtId="0" fontId="6" fillId="0" borderId="52" xfId="49" applyFont="1" applyFill="1" applyBorder="1" applyAlignment="1">
      <alignment horizontal="centerContinuous" vertical="center" wrapText="1"/>
    </xf>
    <xf numFmtId="0" fontId="5" fillId="0" borderId="15" xfId="49" applyFont="1" applyFill="1" applyBorder="1" applyAlignment="1">
      <alignment horizontal="left" indent="1"/>
    </xf>
    <xf numFmtId="171" fontId="5" fillId="0" borderId="42" xfId="49" applyNumberFormat="1" applyFont="1" applyFill="1" applyBorder="1"/>
    <xf numFmtId="168" fontId="5" fillId="0" borderId="10" xfId="49" applyNumberFormat="1" applyFont="1" applyFill="1" applyBorder="1"/>
    <xf numFmtId="171" fontId="5" fillId="0" borderId="10" xfId="49" applyNumberFormat="1" applyFont="1" applyFill="1" applyBorder="1"/>
    <xf numFmtId="171" fontId="5" fillId="0" borderId="10" xfId="49" applyNumberFormat="1" applyFont="1" applyFill="1" applyBorder="1" applyProtection="1">
      <protection locked="0"/>
    </xf>
    <xf numFmtId="171" fontId="5" fillId="0" borderId="20" xfId="49" applyNumberFormat="1" applyFont="1" applyFill="1" applyBorder="1" applyProtection="1">
      <protection locked="0"/>
    </xf>
    <xf numFmtId="171" fontId="5" fillId="0" borderId="42" xfId="49" applyNumberFormat="1" applyFont="1" applyFill="1" applyBorder="1" applyProtection="1">
      <protection locked="0"/>
    </xf>
    <xf numFmtId="171" fontId="5" fillId="0" borderId="24" xfId="49" applyNumberFormat="1" applyFont="1" applyFill="1" applyBorder="1" applyProtection="1">
      <protection locked="0"/>
    </xf>
    <xf numFmtId="0" fontId="6" fillId="0" borderId="21" xfId="49" applyFont="1" applyFill="1" applyBorder="1" applyAlignment="1">
      <alignment horizontal="center"/>
    </xf>
    <xf numFmtId="0" fontId="6" fillId="0" borderId="25" xfId="49" applyNumberFormat="1" applyFont="1" applyFill="1" applyBorder="1" applyAlignment="1">
      <alignment vertical="center"/>
    </xf>
    <xf numFmtId="0" fontId="6" fillId="0" borderId="31" xfId="49" applyNumberFormat="1" applyFont="1" applyFill="1" applyBorder="1" applyAlignment="1">
      <alignment vertical="center"/>
    </xf>
    <xf numFmtId="164" fontId="6" fillId="0" borderId="62" xfId="49" applyNumberFormat="1" applyFont="1" applyFill="1" applyBorder="1"/>
    <xf numFmtId="164" fontId="6" fillId="0" borderId="10" xfId="49" applyNumberFormat="1" applyFont="1" applyFill="1" applyBorder="1"/>
    <xf numFmtId="0" fontId="6" fillId="0" borderId="12" xfId="49" applyFont="1" applyFill="1" applyBorder="1" applyAlignment="1">
      <alignment horizontal="center" vertical="center" wrapText="1"/>
    </xf>
    <xf numFmtId="0" fontId="5" fillId="0" borderId="16" xfId="49" applyFont="1" applyBorder="1"/>
    <xf numFmtId="0" fontId="6" fillId="0" borderId="15" xfId="49" applyFont="1" applyFill="1" applyBorder="1" applyAlignment="1">
      <alignment horizontal="left" vertical="center"/>
    </xf>
    <xf numFmtId="0" fontId="5" fillId="0" borderId="17" xfId="49" applyFont="1" applyBorder="1" applyAlignment="1">
      <alignment horizontal="center"/>
    </xf>
    <xf numFmtId="0" fontId="5" fillId="0" borderId="17" xfId="49" applyFont="1" applyBorder="1"/>
    <xf numFmtId="0" fontId="6" fillId="0" borderId="10" xfId="49" applyFont="1" applyFill="1" applyBorder="1" applyAlignment="1">
      <alignment horizontal="center" vertical="center" wrapText="1"/>
    </xf>
    <xf numFmtId="0" fontId="5" fillId="0" borderId="10" xfId="49" applyFont="1" applyBorder="1" applyAlignment="1">
      <alignment horizontal="center"/>
    </xf>
    <xf numFmtId="0" fontId="5" fillId="0" borderId="35" xfId="49" applyFont="1" applyBorder="1"/>
    <xf numFmtId="0" fontId="8" fillId="0" borderId="35" xfId="49" applyFont="1" applyBorder="1"/>
    <xf numFmtId="0" fontId="5" fillId="0" borderId="35" xfId="49" applyFont="1" applyBorder="1" applyAlignment="1">
      <alignment horizontal="center"/>
    </xf>
    <xf numFmtId="0" fontId="5" fillId="0" borderId="17" xfId="49" applyFont="1" applyFill="1" applyBorder="1" applyAlignment="1">
      <alignment horizontal="center" vertical="center"/>
    </xf>
    <xf numFmtId="0" fontId="6" fillId="0" borderId="35" xfId="49" applyFont="1" applyFill="1" applyBorder="1" applyAlignment="1">
      <alignment horizontal="centerContinuous" vertical="center" wrapText="1"/>
    </xf>
    <xf numFmtId="0" fontId="6" fillId="0" borderId="59" xfId="49" applyFont="1" applyFill="1" applyBorder="1" applyAlignment="1">
      <alignment horizontal="centerContinuous" vertical="center" wrapText="1"/>
    </xf>
    <xf numFmtId="0" fontId="8" fillId="0" borderId="10" xfId="49" applyFont="1" applyBorder="1" applyProtection="1"/>
    <xf numFmtId="0" fontId="5" fillId="0" borderId="10" xfId="49" applyFont="1" applyBorder="1" applyProtection="1"/>
    <xf numFmtId="0" fontId="5" fillId="0" borderId="10" xfId="49" applyFont="1" applyBorder="1" applyAlignment="1" applyProtection="1">
      <alignment horizontal="center"/>
    </xf>
    <xf numFmtId="171" fontId="5" fillId="25" borderId="10" xfId="49" applyNumberFormat="1" applyFont="1" applyFill="1" applyBorder="1" applyProtection="1">
      <protection locked="0"/>
    </xf>
    <xf numFmtId="0" fontId="5" fillId="25" borderId="10" xfId="49" applyFont="1" applyFill="1" applyBorder="1" applyProtection="1">
      <protection locked="0"/>
    </xf>
    <xf numFmtId="0" fontId="5" fillId="25" borderId="17" xfId="49" applyFont="1" applyFill="1" applyBorder="1" applyProtection="1">
      <protection locked="0"/>
    </xf>
    <xf numFmtId="171" fontId="5" fillId="25" borderId="17" xfId="49" applyNumberFormat="1" applyFont="1" applyFill="1" applyBorder="1" applyProtection="1">
      <protection locked="0"/>
    </xf>
    <xf numFmtId="0" fontId="6" fillId="0" borderId="15" xfId="49" applyFont="1" applyFill="1" applyBorder="1" applyAlignment="1">
      <alignment horizontal="left" vertical="center"/>
    </xf>
    <xf numFmtId="0" fontId="5" fillId="0" borderId="22" xfId="49" applyFont="1" applyFill="1" applyBorder="1" applyAlignment="1">
      <alignment horizontal="center" vertical="center"/>
    </xf>
    <xf numFmtId="167" fontId="5" fillId="0" borderId="10" xfId="42" applyNumberFormat="1" applyFont="1" applyFill="1" applyBorder="1" applyAlignment="1">
      <alignment horizontal="center" vertical="top" wrapText="1"/>
    </xf>
    <xf numFmtId="0" fontId="6" fillId="0" borderId="18" xfId="49" applyFont="1" applyFill="1" applyBorder="1" applyAlignment="1">
      <alignment horizontal="centerContinuous" vertical="center" wrapText="1"/>
    </xf>
    <xf numFmtId="0" fontId="5" fillId="0" borderId="17" xfId="49" applyFont="1" applyFill="1" applyBorder="1" applyAlignment="1">
      <alignment horizontal="center" vertical="center"/>
    </xf>
    <xf numFmtId="0" fontId="5" fillId="0" borderId="45" xfId="49" applyFont="1" applyFill="1" applyBorder="1" applyAlignment="1">
      <alignment horizontal="center" vertical="center"/>
    </xf>
    <xf numFmtId="167" fontId="5" fillId="0" borderId="42" xfId="42" applyNumberFormat="1" applyFont="1" applyFill="1" applyBorder="1" applyAlignment="1">
      <alignment horizontal="center" vertical="top" wrapText="1"/>
    </xf>
    <xf numFmtId="167" fontId="5" fillId="0" borderId="41" xfId="42" applyNumberFormat="1" applyFont="1" applyFill="1" applyBorder="1" applyAlignment="1">
      <alignment horizontal="center" vertical="top" wrapText="1"/>
    </xf>
    <xf numFmtId="0" fontId="6" fillId="0" borderId="62" xfId="49" applyFont="1" applyFill="1" applyBorder="1" applyAlignment="1">
      <alignment horizontal="center" vertical="center" wrapText="1"/>
    </xf>
    <xf numFmtId="167" fontId="5" fillId="0" borderId="10" xfId="42" applyNumberFormat="1" applyFont="1" applyFill="1" applyBorder="1" applyAlignment="1" applyProtection="1">
      <alignment horizontal="center" vertical="top" wrapText="1"/>
    </xf>
    <xf numFmtId="167" fontId="5" fillId="0" borderId="41" xfId="42" applyNumberFormat="1" applyFont="1" applyFill="1" applyBorder="1" applyAlignment="1" applyProtection="1">
      <alignment horizontal="center" vertical="top" wrapText="1"/>
    </xf>
    <xf numFmtId="167" fontId="5" fillId="0" borderId="20" xfId="42" applyNumberFormat="1" applyFont="1" applyFill="1" applyBorder="1" applyAlignment="1" applyProtection="1">
      <alignment horizontal="center" vertical="top" wrapText="1"/>
    </xf>
    <xf numFmtId="167" fontId="5" fillId="0" borderId="42" xfId="42" applyNumberFormat="1" applyFont="1" applyFill="1" applyBorder="1" applyAlignment="1" applyProtection="1">
      <alignment horizontal="center" vertical="top" wrapText="1"/>
    </xf>
    <xf numFmtId="0" fontId="5" fillId="0" borderId="33" xfId="49" applyFont="1" applyFill="1" applyBorder="1" applyAlignment="1">
      <alignment horizontal="left" vertical="top" wrapText="1"/>
    </xf>
    <xf numFmtId="168" fontId="6" fillId="0" borderId="24" xfId="49" applyNumberFormat="1" applyFont="1" applyFill="1" applyBorder="1"/>
    <xf numFmtId="0" fontId="5" fillId="0" borderId="61" xfId="49" applyFont="1" applyFill="1" applyBorder="1"/>
    <xf numFmtId="0" fontId="5" fillId="0" borderId="11" xfId="49" applyFont="1" applyFill="1" applyBorder="1"/>
    <xf numFmtId="0" fontId="6" fillId="0" borderId="38" xfId="49" applyFont="1" applyFill="1" applyBorder="1" applyAlignment="1">
      <alignment horizontal="centerContinuous" vertical="center" wrapText="1"/>
    </xf>
    <xf numFmtId="0" fontId="6" fillId="0" borderId="39" xfId="49" applyFont="1" applyFill="1" applyBorder="1" applyAlignment="1">
      <alignment horizontal="center" vertical="center" wrapText="1"/>
    </xf>
    <xf numFmtId="0" fontId="6" fillId="0" borderId="10" xfId="49" applyFont="1" applyFill="1" applyBorder="1" applyAlignment="1">
      <alignment horizontal="center" vertical="center" wrapText="1"/>
    </xf>
    <xf numFmtId="0" fontId="6" fillId="0" borderId="44" xfId="49" applyFont="1" applyFill="1" applyBorder="1" applyAlignment="1">
      <alignment horizontal="center" vertical="center" wrapText="1"/>
    </xf>
    <xf numFmtId="0" fontId="5" fillId="0" borderId="10" xfId="49" applyFont="1" applyFill="1" applyBorder="1" applyAlignment="1">
      <alignment horizontal="center"/>
    </xf>
    <xf numFmtId="168" fontId="6" fillId="0" borderId="10" xfId="49" applyNumberFormat="1" applyFont="1" applyFill="1" applyBorder="1"/>
    <xf numFmtId="0" fontId="6" fillId="0" borderId="47" xfId="49" applyFont="1" applyFill="1" applyBorder="1" applyAlignment="1">
      <alignment horizontal="center" vertical="center" wrapText="1"/>
    </xf>
    <xf numFmtId="0" fontId="6" fillId="0" borderId="19" xfId="49" applyFont="1" applyFill="1" applyBorder="1" applyAlignment="1">
      <alignment horizontal="centerContinuous" vertical="center" wrapText="1"/>
    </xf>
    <xf numFmtId="0" fontId="6" fillId="0" borderId="40" xfId="49" applyFont="1" applyFill="1" applyBorder="1" applyAlignment="1">
      <alignment horizontal="centerContinuous" vertical="center" wrapText="1"/>
    </xf>
    <xf numFmtId="0" fontId="6" fillId="0" borderId="52" xfId="49" applyFont="1" applyFill="1" applyBorder="1" applyAlignment="1">
      <alignment horizontal="centerContinuous" vertical="center" wrapText="1"/>
    </xf>
    <xf numFmtId="0" fontId="6" fillId="0" borderId="54" xfId="49" applyFont="1" applyFill="1" applyBorder="1" applyAlignment="1">
      <alignment horizontal="left" vertical="center"/>
    </xf>
    <xf numFmtId="0" fontId="5" fillId="0" borderId="49" xfId="49" applyFont="1" applyFill="1" applyBorder="1" applyAlignment="1">
      <alignment horizontal="center" vertical="center"/>
    </xf>
    <xf numFmtId="0" fontId="5" fillId="0" borderId="32" xfId="49" applyFont="1" applyFill="1" applyBorder="1" applyAlignment="1">
      <alignment horizontal="center" vertical="center"/>
    </xf>
    <xf numFmtId="0" fontId="5" fillId="0" borderId="46" xfId="49" applyFont="1" applyFill="1" applyBorder="1" applyAlignment="1">
      <alignment horizontal="center" vertical="center"/>
    </xf>
    <xf numFmtId="0" fontId="5" fillId="0" borderId="34" xfId="49" applyFont="1" applyFill="1" applyBorder="1" applyAlignment="1">
      <alignment horizontal="center"/>
    </xf>
    <xf numFmtId="0" fontId="6" fillId="0" borderId="11" xfId="49" applyFont="1" applyFill="1" applyBorder="1" applyAlignment="1">
      <alignment horizontal="left" indent="1"/>
    </xf>
    <xf numFmtId="171" fontId="6" fillId="0" borderId="44" xfId="49" applyNumberFormat="1" applyFont="1" applyFill="1" applyBorder="1"/>
    <xf numFmtId="171" fontId="6" fillId="0" borderId="47" xfId="49" applyNumberFormat="1" applyFont="1" applyFill="1" applyBorder="1"/>
    <xf numFmtId="171" fontId="5" fillId="0" borderId="61" xfId="49" applyNumberFormat="1" applyFont="1" applyFill="1" applyBorder="1" applyProtection="1">
      <protection locked="0"/>
    </xf>
    <xf numFmtId="171" fontId="5" fillId="0" borderId="39" xfId="49" applyNumberFormat="1" applyFont="1" applyFill="1" applyBorder="1"/>
    <xf numFmtId="0" fontId="8" fillId="0" borderId="36" xfId="49" applyFont="1" applyFill="1" applyBorder="1"/>
    <xf numFmtId="0" fontId="5" fillId="0" borderId="11" xfId="49" applyNumberFormat="1" applyFont="1" applyFill="1" applyBorder="1"/>
    <xf numFmtId="171" fontId="6" fillId="0" borderId="42" xfId="49" applyNumberFormat="1" applyFont="1" applyFill="1" applyBorder="1" applyProtection="1">
      <protection locked="0"/>
    </xf>
    <xf numFmtId="171" fontId="6" fillId="0" borderId="46" xfId="49" applyNumberFormat="1" applyFont="1" applyFill="1" applyBorder="1" applyProtection="1">
      <protection locked="0"/>
    </xf>
    <xf numFmtId="0" fontId="6" fillId="0" borderId="34" xfId="49" applyFont="1" applyFill="1" applyBorder="1" applyAlignment="1">
      <alignment horizontal="center"/>
    </xf>
    <xf numFmtId="171" fontId="6" fillId="0" borderId="39" xfId="49" applyNumberFormat="1" applyFont="1" applyFill="1" applyBorder="1" applyProtection="1">
      <protection locked="0"/>
    </xf>
    <xf numFmtId="171" fontId="6" fillId="0" borderId="62" xfId="49" applyNumberFormat="1" applyFont="1" applyFill="1" applyBorder="1" applyProtection="1">
      <protection locked="0"/>
    </xf>
    <xf numFmtId="171" fontId="5" fillId="0" borderId="46" xfId="49" applyNumberFormat="1" applyFont="1" applyFill="1" applyBorder="1" applyProtection="1">
      <protection locked="0"/>
    </xf>
    <xf numFmtId="171" fontId="6" fillId="0" borderId="62" xfId="49" applyNumberFormat="1" applyFont="1" applyFill="1" applyBorder="1"/>
    <xf numFmtId="171" fontId="5" fillId="0" borderId="44" xfId="49" applyNumberFormat="1" applyFont="1" applyFill="1" applyBorder="1" applyProtection="1">
      <protection locked="0"/>
    </xf>
    <xf numFmtId="171" fontId="5" fillId="0" borderId="62" xfId="49" applyNumberFormat="1" applyFont="1" applyFill="1" applyBorder="1" applyProtection="1">
      <protection locked="0"/>
    </xf>
    <xf numFmtId="0" fontId="5" fillId="0" borderId="56" xfId="49" applyFont="1" applyFill="1" applyBorder="1"/>
    <xf numFmtId="171" fontId="5" fillId="0" borderId="20" xfId="49" applyNumberFormat="1" applyFont="1" applyFill="1" applyBorder="1"/>
    <xf numFmtId="0" fontId="5" fillId="0" borderId="11" xfId="49" applyFont="1" applyFill="1" applyBorder="1"/>
    <xf numFmtId="167" fontId="5" fillId="0" borderId="20" xfId="42" applyNumberFormat="1" applyFont="1" applyFill="1" applyBorder="1" applyAlignment="1">
      <alignment horizontal="center" vertical="top" wrapText="1"/>
    </xf>
    <xf numFmtId="0" fontId="6" fillId="0" borderId="38" xfId="49" applyFont="1" applyFill="1" applyBorder="1" applyAlignment="1">
      <alignment horizontal="centerContinuous" vertical="center" wrapText="1"/>
    </xf>
    <xf numFmtId="0" fontId="6" fillId="0" borderId="39" xfId="49" applyFont="1" applyFill="1" applyBorder="1" applyAlignment="1">
      <alignment horizontal="center" vertical="center" wrapText="1"/>
    </xf>
    <xf numFmtId="0" fontId="6" fillId="0" borderId="10" xfId="49" applyFont="1" applyFill="1" applyBorder="1" applyAlignment="1">
      <alignment horizontal="center" vertical="center" wrapText="1"/>
    </xf>
    <xf numFmtId="0" fontId="6" fillId="0" borderId="44" xfId="49" applyFont="1" applyFill="1" applyBorder="1" applyAlignment="1">
      <alignment horizontal="center" vertical="center" wrapText="1"/>
    </xf>
    <xf numFmtId="0" fontId="5" fillId="0" borderId="10" xfId="49" applyFont="1" applyFill="1" applyBorder="1" applyAlignment="1">
      <alignment horizontal="center"/>
    </xf>
    <xf numFmtId="9" fontId="6" fillId="0" borderId="39" xfId="42" applyFont="1" applyFill="1" applyBorder="1" applyAlignment="1">
      <alignment horizontal="center" vertical="center" wrapText="1"/>
    </xf>
    <xf numFmtId="0" fontId="6" fillId="0" borderId="19" xfId="49" applyFont="1" applyFill="1" applyBorder="1" applyAlignment="1">
      <alignment horizontal="centerContinuous" vertical="center" wrapText="1"/>
    </xf>
    <xf numFmtId="0" fontId="6" fillId="0" borderId="40" xfId="49" applyFont="1" applyFill="1" applyBorder="1" applyAlignment="1">
      <alignment horizontal="centerContinuous" vertical="center" wrapText="1"/>
    </xf>
    <xf numFmtId="0" fontId="6" fillId="0" borderId="52" xfId="49" applyFont="1" applyFill="1" applyBorder="1" applyAlignment="1">
      <alignment horizontal="centerContinuous" vertical="center" wrapText="1"/>
    </xf>
    <xf numFmtId="0" fontId="6" fillId="0" borderId="55" xfId="49" applyFont="1" applyFill="1" applyBorder="1" applyAlignment="1">
      <alignment horizontal="center" vertical="center" wrapText="1"/>
    </xf>
    <xf numFmtId="0" fontId="6" fillId="0" borderId="54" xfId="49" applyFont="1" applyFill="1" applyBorder="1" applyAlignment="1">
      <alignment horizontal="left" vertical="center"/>
    </xf>
    <xf numFmtId="0" fontId="5" fillId="0" borderId="49" xfId="49" applyFont="1" applyFill="1" applyBorder="1" applyAlignment="1">
      <alignment horizontal="center" vertical="center"/>
    </xf>
    <xf numFmtId="0" fontId="5" fillId="0" borderId="32" xfId="49" applyFont="1" applyFill="1" applyBorder="1" applyAlignment="1">
      <alignment horizontal="center" vertical="center"/>
    </xf>
    <xf numFmtId="9" fontId="6" fillId="0" borderId="32" xfId="42" applyFont="1" applyFill="1" applyBorder="1" applyAlignment="1">
      <alignment horizontal="center" vertical="center"/>
    </xf>
    <xf numFmtId="0" fontId="5" fillId="0" borderId="46" xfId="49" applyFont="1" applyFill="1" applyBorder="1" applyAlignment="1">
      <alignment horizontal="center" vertical="center"/>
    </xf>
    <xf numFmtId="167" fontId="6" fillId="0" borderId="20" xfId="42" applyNumberFormat="1" applyFont="1" applyFill="1" applyBorder="1" applyAlignment="1">
      <alignment horizontal="center" wrapText="1"/>
    </xf>
    <xf numFmtId="171" fontId="5" fillId="0" borderId="42" xfId="49" applyNumberFormat="1" applyFont="1" applyFill="1" applyBorder="1"/>
    <xf numFmtId="0" fontId="5" fillId="0" borderId="11" xfId="49" quotePrefix="1" applyFont="1" applyFill="1" applyBorder="1" applyAlignment="1">
      <alignment horizontal="left" indent="2"/>
    </xf>
    <xf numFmtId="0" fontId="6" fillId="0" borderId="11" xfId="49" quotePrefix="1" applyFont="1" applyFill="1" applyBorder="1" applyAlignment="1">
      <alignment horizontal="left" indent="1"/>
    </xf>
    <xf numFmtId="0" fontId="9" fillId="0" borderId="11" xfId="49" quotePrefix="1" applyFont="1" applyFill="1" applyBorder="1" applyAlignment="1">
      <alignment horizontal="left" indent="2"/>
    </xf>
    <xf numFmtId="171" fontId="5" fillId="0" borderId="10" xfId="49" applyNumberFormat="1" applyFont="1" applyFill="1" applyBorder="1"/>
    <xf numFmtId="171" fontId="5" fillId="0" borderId="10" xfId="49" applyNumberFormat="1" applyFont="1" applyFill="1" applyBorder="1" applyProtection="1">
      <protection locked="0"/>
    </xf>
    <xf numFmtId="171" fontId="5" fillId="0" borderId="20" xfId="49" applyNumberFormat="1" applyFont="1" applyFill="1" applyBorder="1" applyProtection="1">
      <protection locked="0"/>
    </xf>
    <xf numFmtId="171" fontId="5" fillId="0" borderId="42" xfId="49" applyNumberFormat="1" applyFont="1" applyFill="1" applyBorder="1" applyProtection="1">
      <protection locked="0"/>
    </xf>
    <xf numFmtId="171" fontId="6" fillId="0" borderId="34" xfId="49" applyNumberFormat="1" applyFont="1" applyFill="1" applyBorder="1"/>
    <xf numFmtId="171" fontId="5" fillId="0" borderId="24" xfId="49" applyNumberFormat="1" applyFont="1" applyFill="1" applyBorder="1" applyProtection="1">
      <protection locked="0"/>
    </xf>
    <xf numFmtId="171" fontId="5" fillId="0" borderId="39" xfId="49" applyNumberFormat="1" applyFont="1" applyFill="1" applyBorder="1" applyProtection="1">
      <protection locked="0"/>
    </xf>
    <xf numFmtId="171" fontId="5" fillId="0" borderId="47" xfId="49" applyNumberFormat="1" applyFont="1" applyFill="1" applyBorder="1" applyProtection="1">
      <protection locked="0"/>
    </xf>
    <xf numFmtId="167" fontId="5" fillId="0" borderId="39" xfId="42" applyNumberFormat="1" applyFont="1" applyFill="1" applyBorder="1" applyAlignment="1">
      <alignment horizontal="center" vertical="top" wrapText="1"/>
    </xf>
    <xf numFmtId="167" fontId="6" fillId="0" borderId="39" xfId="42" applyNumberFormat="1" applyFont="1" applyFill="1" applyBorder="1" applyAlignment="1">
      <alignment horizontal="center" vertical="top" wrapText="1"/>
    </xf>
    <xf numFmtId="171" fontId="6" fillId="0" borderId="10" xfId="49" applyNumberFormat="1" applyFont="1" applyFill="1" applyBorder="1"/>
    <xf numFmtId="171" fontId="6" fillId="0" borderId="24" xfId="49" applyNumberFormat="1" applyFont="1" applyFill="1" applyBorder="1"/>
    <xf numFmtId="171" fontId="6" fillId="0" borderId="39" xfId="49" applyNumberFormat="1" applyFont="1" applyFill="1" applyBorder="1"/>
    <xf numFmtId="171" fontId="6" fillId="0" borderId="50" xfId="49" applyNumberFormat="1" applyFont="1" applyFill="1" applyBorder="1"/>
    <xf numFmtId="0" fontId="6" fillId="0" borderId="11" xfId="49" applyFont="1" applyFill="1" applyBorder="1" applyAlignment="1">
      <alignment horizontal="left" indent="1"/>
    </xf>
    <xf numFmtId="0" fontId="5" fillId="0" borderId="11" xfId="49" quotePrefix="1" applyFont="1" applyFill="1" applyBorder="1" applyAlignment="1">
      <alignment horizontal="left" vertical="top" indent="1"/>
    </xf>
    <xf numFmtId="0" fontId="8" fillId="0" borderId="11" xfId="49" applyFont="1" applyBorder="1"/>
    <xf numFmtId="0" fontId="5" fillId="0" borderId="11" xfId="49" applyFont="1" applyBorder="1" applyAlignment="1">
      <alignment horizontal="left" indent="1"/>
    </xf>
    <xf numFmtId="171" fontId="5" fillId="0" borderId="20" xfId="49" applyNumberFormat="1" applyFont="1" applyBorder="1"/>
    <xf numFmtId="171" fontId="6" fillId="0" borderId="22" xfId="49" applyNumberFormat="1" applyFont="1" applyBorder="1"/>
    <xf numFmtId="0" fontId="6" fillId="0" borderId="15" xfId="49" applyFont="1" applyBorder="1"/>
    <xf numFmtId="167" fontId="5" fillId="0" borderId="20" xfId="42" applyNumberFormat="1" applyFont="1" applyFill="1" applyBorder="1" applyAlignment="1">
      <alignment horizontal="center" vertical="top" wrapText="1"/>
    </xf>
    <xf numFmtId="171" fontId="5" fillId="0" borderId="10" xfId="49" applyNumberFormat="1" applyFont="1" applyBorder="1"/>
    <xf numFmtId="0" fontId="6" fillId="0" borderId="38" xfId="49" applyFont="1" applyFill="1" applyBorder="1" applyAlignment="1">
      <alignment horizontal="centerContinuous" vertical="center" wrapText="1"/>
    </xf>
    <xf numFmtId="0" fontId="6" fillId="0" borderId="39" xfId="49" applyFont="1" applyFill="1" applyBorder="1" applyAlignment="1">
      <alignment horizontal="center" vertical="center" wrapText="1"/>
    </xf>
    <xf numFmtId="171" fontId="5" fillId="0" borderId="42" xfId="49" applyNumberFormat="1" applyFont="1" applyBorder="1"/>
    <xf numFmtId="0" fontId="6" fillId="0" borderId="10" xfId="49" applyFont="1" applyFill="1" applyBorder="1" applyAlignment="1">
      <alignment horizontal="center" vertical="center" wrapText="1"/>
    </xf>
    <xf numFmtId="0" fontId="6" fillId="0" borderId="44" xfId="49" applyFont="1" applyFill="1" applyBorder="1" applyAlignment="1">
      <alignment horizontal="center" vertical="center" wrapText="1"/>
    </xf>
    <xf numFmtId="9" fontId="6" fillId="0" borderId="39" xfId="42" applyFont="1" applyFill="1" applyBorder="1" applyAlignment="1">
      <alignment horizontal="center" vertical="center" wrapText="1"/>
    </xf>
    <xf numFmtId="171" fontId="6" fillId="0" borderId="45" xfId="49" applyNumberFormat="1" applyFont="1" applyBorder="1"/>
    <xf numFmtId="171" fontId="6" fillId="0" borderId="17" xfId="49" applyNumberFormat="1" applyFont="1" applyBorder="1"/>
    <xf numFmtId="0" fontId="5" fillId="0" borderId="54" xfId="49" applyFont="1" applyBorder="1" applyAlignment="1">
      <alignment horizontal="left" indent="1"/>
    </xf>
    <xf numFmtId="0" fontId="6" fillId="0" borderId="55" xfId="49" applyFont="1" applyFill="1" applyBorder="1" applyAlignment="1">
      <alignment horizontal="center" vertical="center" wrapText="1"/>
    </xf>
    <xf numFmtId="171" fontId="5" fillId="0" borderId="41" xfId="49" applyNumberFormat="1" applyFont="1" applyBorder="1"/>
    <xf numFmtId="171" fontId="6" fillId="0" borderId="53" xfId="49" applyNumberFormat="1" applyFont="1" applyBorder="1"/>
    <xf numFmtId="0" fontId="6" fillId="0" borderId="54" xfId="49" applyFont="1" applyFill="1" applyBorder="1" applyAlignment="1">
      <alignment horizontal="left" vertical="center"/>
    </xf>
    <xf numFmtId="0" fontId="5" fillId="0" borderId="49" xfId="49" applyFont="1" applyFill="1" applyBorder="1" applyAlignment="1">
      <alignment horizontal="center" vertical="center"/>
    </xf>
    <xf numFmtId="0" fontId="5" fillId="0" borderId="32" xfId="49" applyFont="1" applyBorder="1"/>
    <xf numFmtId="0" fontId="5" fillId="0" borderId="32" xfId="49" applyFont="1" applyFill="1" applyBorder="1" applyAlignment="1">
      <alignment horizontal="center" vertical="center"/>
    </xf>
    <xf numFmtId="9" fontId="6" fillId="0" borderId="32" xfId="42" applyFont="1" applyFill="1" applyBorder="1" applyAlignment="1">
      <alignment horizontal="center" vertical="center"/>
    </xf>
    <xf numFmtId="0" fontId="5" fillId="0" borderId="46" xfId="49" applyFont="1" applyFill="1" applyBorder="1" applyAlignment="1">
      <alignment horizontal="center" vertical="center"/>
    </xf>
    <xf numFmtId="0" fontId="5" fillId="0" borderId="56" xfId="49" applyFont="1" applyBorder="1"/>
    <xf numFmtId="171" fontId="6" fillId="24" borderId="22" xfId="49" applyNumberFormat="1" applyFont="1" applyFill="1" applyBorder="1"/>
    <xf numFmtId="171" fontId="5" fillId="0" borderId="20" xfId="49" applyNumberFormat="1" applyFont="1" applyFill="1" applyBorder="1" applyProtection="1"/>
    <xf numFmtId="167" fontId="6" fillId="24" borderId="22" xfId="42" applyNumberFormat="1" applyFont="1" applyFill="1" applyBorder="1" applyAlignment="1">
      <alignment horizontal="center" vertical="top" wrapText="1"/>
    </xf>
    <xf numFmtId="9" fontId="5" fillId="0" borderId="42" xfId="42" applyFont="1" applyFill="1" applyBorder="1" applyAlignment="1" applyProtection="1">
      <alignment horizontal="center"/>
    </xf>
    <xf numFmtId="171" fontId="5" fillId="0" borderId="20" xfId="49" applyNumberFormat="1" applyFont="1" applyFill="1" applyBorder="1"/>
    <xf numFmtId="171" fontId="6" fillId="0" borderId="20" xfId="49" applyNumberFormat="1" applyFont="1" applyFill="1" applyBorder="1"/>
    <xf numFmtId="167" fontId="5" fillId="0" borderId="20" xfId="42" applyNumberFormat="1" applyFont="1" applyFill="1" applyBorder="1" applyAlignment="1">
      <alignment horizontal="center" vertical="top" wrapText="1"/>
    </xf>
    <xf numFmtId="0" fontId="6" fillId="0" borderId="39" xfId="49" applyFont="1" applyFill="1" applyBorder="1" applyAlignment="1">
      <alignment horizontal="center" vertical="center" wrapText="1"/>
    </xf>
    <xf numFmtId="0" fontId="6" fillId="0" borderId="44" xfId="49" applyFont="1" applyFill="1" applyBorder="1" applyAlignment="1">
      <alignment horizontal="center" vertical="center" wrapText="1"/>
    </xf>
    <xf numFmtId="0" fontId="5" fillId="0" borderId="10" xfId="49" applyFont="1" applyFill="1" applyBorder="1" applyAlignment="1">
      <alignment horizontal="center"/>
    </xf>
    <xf numFmtId="0" fontId="6" fillId="0" borderId="19" xfId="49" applyFont="1" applyFill="1" applyBorder="1" applyAlignment="1">
      <alignment horizontal="centerContinuous" vertical="center" wrapText="1"/>
    </xf>
    <xf numFmtId="0" fontId="6" fillId="0" borderId="40" xfId="49" applyFont="1" applyFill="1" applyBorder="1" applyAlignment="1">
      <alignment horizontal="centerContinuous" vertical="center" wrapText="1"/>
    </xf>
    <xf numFmtId="0" fontId="6" fillId="0" borderId="52" xfId="49" applyFont="1" applyFill="1" applyBorder="1" applyAlignment="1">
      <alignment horizontal="centerContinuous" vertical="center" wrapText="1"/>
    </xf>
    <xf numFmtId="0" fontId="6" fillId="0" borderId="55" xfId="49" applyFont="1" applyFill="1" applyBorder="1" applyAlignment="1">
      <alignment horizontal="center" vertical="center" wrapText="1"/>
    </xf>
    <xf numFmtId="171" fontId="5" fillId="0" borderId="20" xfId="49" applyNumberFormat="1" applyFont="1" applyFill="1" applyBorder="1" applyProtection="1">
      <protection locked="0"/>
    </xf>
    <xf numFmtId="171" fontId="6" fillId="0" borderId="42" xfId="49" applyNumberFormat="1" applyFont="1" applyFill="1" applyBorder="1"/>
    <xf numFmtId="0" fontId="5" fillId="0" borderId="45" xfId="1" applyFont="1" applyFill="1" applyBorder="1" applyAlignment="1">
      <alignment horizontal="center"/>
    </xf>
    <xf numFmtId="0" fontId="8" fillId="0" borderId="14" xfId="1" applyFont="1" applyFill="1" applyBorder="1"/>
    <xf numFmtId="0" fontId="5" fillId="0" borderId="48" xfId="1" applyFont="1" applyFill="1" applyBorder="1" applyAlignment="1">
      <alignment horizontal="center"/>
    </xf>
    <xf numFmtId="0" fontId="6" fillId="0" borderId="35" xfId="1" applyFont="1" applyFill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0" fontId="6" fillId="0" borderId="21" xfId="1" applyFont="1" applyFill="1" applyBorder="1" applyAlignment="1">
      <alignment horizontal="center"/>
    </xf>
    <xf numFmtId="0" fontId="6" fillId="0" borderId="48" xfId="1" applyFont="1" applyFill="1" applyBorder="1" applyAlignment="1">
      <alignment horizontal="center"/>
    </xf>
    <xf numFmtId="171" fontId="5" fillId="0" borderId="10" xfId="1" applyNumberFormat="1" applyFont="1" applyFill="1" applyBorder="1" applyProtection="1">
      <protection locked="0"/>
    </xf>
    <xf numFmtId="171" fontId="5" fillId="0" borderId="20" xfId="1" applyNumberFormat="1" applyFont="1" applyFill="1" applyBorder="1" applyProtection="1">
      <protection locked="0"/>
    </xf>
    <xf numFmtId="171" fontId="5" fillId="0" borderId="42" xfId="1" applyNumberFormat="1" applyFont="1" applyFill="1" applyBorder="1" applyProtection="1">
      <protection locked="0"/>
    </xf>
    <xf numFmtId="0" fontId="6" fillId="0" borderId="31" xfId="1" applyNumberFormat="1" applyFont="1" applyFill="1" applyBorder="1" applyAlignment="1">
      <alignment horizontal="left" wrapText="1"/>
    </xf>
    <xf numFmtId="0" fontId="5" fillId="0" borderId="43" xfId="1" applyFont="1" applyFill="1" applyBorder="1" applyAlignment="1">
      <alignment horizontal="center"/>
    </xf>
    <xf numFmtId="171" fontId="6" fillId="0" borderId="50" xfId="1" applyNumberFormat="1" applyFont="1" applyFill="1" applyBorder="1" applyAlignment="1">
      <alignment vertical="top"/>
    </xf>
    <xf numFmtId="0" fontId="5" fillId="0" borderId="11" xfId="1" applyFont="1" applyFill="1" applyBorder="1"/>
    <xf numFmtId="171" fontId="5" fillId="0" borderId="10" xfId="1" applyNumberFormat="1" applyFont="1" applyFill="1" applyBorder="1"/>
    <xf numFmtId="171" fontId="5" fillId="0" borderId="24" xfId="1" applyNumberFormat="1" applyFont="1" applyFill="1" applyBorder="1"/>
    <xf numFmtId="171" fontId="5" fillId="0" borderId="42" xfId="1" applyNumberFormat="1" applyFont="1" applyFill="1" applyBorder="1"/>
    <xf numFmtId="0" fontId="8" fillId="0" borderId="11" xfId="1" applyFont="1" applyFill="1" applyBorder="1"/>
    <xf numFmtId="0" fontId="10" fillId="0" borderId="42" xfId="1" applyFont="1" applyFill="1" applyBorder="1" applyAlignment="1">
      <alignment horizontal="center"/>
    </xf>
    <xf numFmtId="171" fontId="5" fillId="0" borderId="24" xfId="1" applyNumberFormat="1" applyFont="1" applyFill="1" applyBorder="1" applyProtection="1">
      <protection locked="0"/>
    </xf>
    <xf numFmtId="0" fontId="6" fillId="0" borderId="31" xfId="1" applyFont="1" applyFill="1" applyBorder="1"/>
    <xf numFmtId="0" fontId="6" fillId="0" borderId="43" xfId="1" applyFont="1" applyFill="1" applyBorder="1" applyAlignment="1">
      <alignment horizontal="center"/>
    </xf>
    <xf numFmtId="171" fontId="6" fillId="0" borderId="50" xfId="1" applyNumberFormat="1" applyFont="1" applyFill="1" applyBorder="1"/>
    <xf numFmtId="0" fontId="6" fillId="0" borderId="11" xfId="1" applyFont="1" applyFill="1" applyBorder="1"/>
    <xf numFmtId="171" fontId="6" fillId="0" borderId="10" xfId="1" applyNumberFormat="1" applyFont="1" applyFill="1" applyBorder="1"/>
    <xf numFmtId="171" fontId="5" fillId="0" borderId="61" xfId="1" applyNumberFormat="1" applyFont="1" applyFill="1" applyBorder="1" applyProtection="1">
      <protection locked="0"/>
    </xf>
    <xf numFmtId="171" fontId="5" fillId="0" borderId="32" xfId="1" applyNumberFormat="1" applyFont="1" applyFill="1" applyBorder="1" applyProtection="1">
      <protection locked="0"/>
    </xf>
    <xf numFmtId="0" fontId="6" fillId="0" borderId="11" xfId="1" applyFont="1" applyFill="1" applyBorder="1" applyAlignment="1">
      <alignment vertical="top" wrapText="1"/>
    </xf>
    <xf numFmtId="0" fontId="5" fillId="0" borderId="42" xfId="1" applyFont="1" applyFill="1" applyBorder="1" applyAlignment="1">
      <alignment horizontal="center" vertical="top"/>
    </xf>
    <xf numFmtId="171" fontId="6" fillId="0" borderId="10" xfId="1" applyNumberFormat="1" applyFont="1" applyFill="1" applyBorder="1" applyAlignment="1">
      <alignment vertical="top"/>
    </xf>
    <xf numFmtId="171" fontId="5" fillId="0" borderId="32" xfId="1" applyNumberFormat="1" applyFont="1" applyFill="1" applyBorder="1"/>
    <xf numFmtId="0" fontId="6" fillId="0" borderId="11" xfId="1" applyNumberFormat="1" applyFont="1" applyFill="1" applyBorder="1" applyAlignment="1">
      <alignment wrapText="1"/>
    </xf>
    <xf numFmtId="0" fontId="5" fillId="0" borderId="20" xfId="1" applyFont="1" applyFill="1" applyBorder="1" applyAlignment="1">
      <alignment horizontal="center"/>
    </xf>
    <xf numFmtId="171" fontId="6" fillId="0" borderId="44" xfId="1" applyNumberFormat="1" applyFont="1" applyFill="1" applyBorder="1" applyAlignment="1">
      <alignment vertical="top"/>
    </xf>
    <xf numFmtId="0" fontId="5" fillId="0" borderId="54" xfId="1" applyFont="1" applyFill="1" applyBorder="1" applyAlignment="1">
      <alignment horizontal="left" wrapText="1" indent="1"/>
    </xf>
    <xf numFmtId="0" fontId="5" fillId="0" borderId="46" xfId="1" applyFont="1" applyFill="1" applyBorder="1" applyAlignment="1">
      <alignment horizontal="center"/>
    </xf>
    <xf numFmtId="171" fontId="5" fillId="0" borderId="49" xfId="1" applyNumberFormat="1" applyFont="1" applyFill="1" applyBorder="1" applyProtection="1">
      <protection locked="0"/>
    </xf>
    <xf numFmtId="0" fontId="6" fillId="0" borderId="15" xfId="1" applyFont="1" applyFill="1" applyBorder="1"/>
    <xf numFmtId="171" fontId="6" fillId="0" borderId="17" xfId="1" applyNumberFormat="1" applyFont="1" applyFill="1" applyBorder="1"/>
    <xf numFmtId="0" fontId="6" fillId="0" borderId="37" xfId="0" applyFont="1" applyFill="1" applyBorder="1" applyAlignment="1">
      <alignment horizontal="centerContinuous" vertical="center" wrapText="1"/>
    </xf>
    <xf numFmtId="0" fontId="6" fillId="0" borderId="18" xfId="0" applyFont="1" applyFill="1" applyBorder="1" applyAlignment="1">
      <alignment horizontal="centerContinuous" vertical="center" wrapText="1"/>
    </xf>
    <xf numFmtId="0" fontId="6" fillId="0" borderId="15" xfId="0" applyFont="1" applyFill="1" applyBorder="1" applyAlignment="1">
      <alignment horizontal="left" vertical="center"/>
    </xf>
    <xf numFmtId="0" fontId="6" fillId="0" borderId="11" xfId="0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41" xfId="0" applyFont="1" applyFill="1" applyBorder="1"/>
    <xf numFmtId="0" fontId="5" fillId="0" borderId="20" xfId="0" applyFont="1" applyFill="1" applyBorder="1"/>
    <xf numFmtId="0" fontId="5" fillId="0" borderId="42" xfId="0" applyFont="1" applyFill="1" applyBorder="1"/>
    <xf numFmtId="0" fontId="5" fillId="0" borderId="10" xfId="0" applyFont="1" applyFill="1" applyBorder="1"/>
    <xf numFmtId="0" fontId="5" fillId="0" borderId="11" xfId="0" applyFont="1" applyFill="1" applyBorder="1" applyAlignment="1">
      <alignment horizontal="left" indent="1"/>
    </xf>
    <xf numFmtId="164" fontId="5" fillId="0" borderId="20" xfId="0" applyNumberFormat="1" applyFont="1" applyFill="1" applyBorder="1" applyProtection="1">
      <protection locked="0"/>
    </xf>
    <xf numFmtId="164" fontId="5" fillId="0" borderId="42" xfId="0" applyNumberFormat="1" applyFont="1" applyFill="1" applyBorder="1" applyProtection="1">
      <protection locked="0"/>
    </xf>
    <xf numFmtId="164" fontId="6" fillId="0" borderId="10" xfId="0" applyNumberFormat="1" applyFont="1" applyFill="1" applyBorder="1"/>
    <xf numFmtId="0" fontId="6" fillId="0" borderId="25" xfId="0" applyFont="1" applyFill="1" applyBorder="1"/>
    <xf numFmtId="0" fontId="6" fillId="0" borderId="34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top" wrapText="1"/>
    </xf>
    <xf numFmtId="171" fontId="5" fillId="0" borderId="24" xfId="0" applyNumberFormat="1" applyFont="1" applyFill="1" applyBorder="1" applyProtection="1">
      <protection locked="0"/>
    </xf>
    <xf numFmtId="171" fontId="5" fillId="0" borderId="20" xfId="0" applyNumberFormat="1" applyFont="1" applyFill="1" applyBorder="1" applyProtection="1">
      <protection locked="0"/>
    </xf>
    <xf numFmtId="171" fontId="5" fillId="0" borderId="42" xfId="0" applyNumberFormat="1" applyFont="1" applyFill="1" applyBorder="1" applyProtection="1">
      <protection locked="0"/>
    </xf>
    <xf numFmtId="167" fontId="5" fillId="0" borderId="20" xfId="51" applyNumberFormat="1" applyFont="1" applyFill="1" applyBorder="1" applyAlignment="1" applyProtection="1">
      <alignment horizontal="center" vertical="top" wrapText="1"/>
      <protection locked="0"/>
    </xf>
    <xf numFmtId="0" fontId="8" fillId="0" borderId="11" xfId="0" applyNumberFormat="1" applyFont="1" applyFill="1" applyBorder="1"/>
    <xf numFmtId="0" fontId="5" fillId="0" borderId="11" xfId="0" applyFont="1" applyFill="1" applyBorder="1" applyProtection="1">
      <protection locked="0"/>
    </xf>
    <xf numFmtId="0" fontId="6" fillId="0" borderId="34" xfId="0" applyNumberFormat="1" applyFont="1" applyFill="1" applyBorder="1"/>
    <xf numFmtId="0" fontId="5" fillId="0" borderId="34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 vertical="center"/>
    </xf>
    <xf numFmtId="171" fontId="5" fillId="0" borderId="10" xfId="0" applyNumberFormat="1" applyFont="1" applyFill="1" applyBorder="1"/>
    <xf numFmtId="171" fontId="5" fillId="0" borderId="24" xfId="0" applyNumberFormat="1" applyFont="1" applyFill="1" applyBorder="1"/>
    <xf numFmtId="171" fontId="5" fillId="0" borderId="20" xfId="0" applyNumberFormat="1" applyFont="1" applyFill="1" applyBorder="1"/>
    <xf numFmtId="171" fontId="5" fillId="0" borderId="33" xfId="0" applyNumberFormat="1" applyFont="1" applyFill="1" applyBorder="1"/>
    <xf numFmtId="171" fontId="5" fillId="0" borderId="12" xfId="0" applyNumberFormat="1" applyFont="1" applyFill="1" applyBorder="1"/>
    <xf numFmtId="171" fontId="5" fillId="0" borderId="12" xfId="0" applyNumberFormat="1" applyFont="1" applyFill="1" applyBorder="1" applyProtection="1">
      <protection locked="0"/>
    </xf>
    <xf numFmtId="0" fontId="8" fillId="0" borderId="14" xfId="49" applyFont="1" applyFill="1" applyBorder="1" applyAlignment="1">
      <alignment horizontal="left" wrapText="1"/>
    </xf>
    <xf numFmtId="0" fontId="5" fillId="0" borderId="14" xfId="49" applyFont="1" applyFill="1" applyBorder="1" applyAlignment="1">
      <alignment horizontal="left" vertical="top" wrapText="1"/>
    </xf>
    <xf numFmtId="0" fontId="5" fillId="0" borderId="35" xfId="49" applyFont="1" applyFill="1" applyBorder="1" applyAlignment="1">
      <alignment horizontal="left" vertical="top" wrapText="1"/>
    </xf>
    <xf numFmtId="9" fontId="5" fillId="0" borderId="35" xfId="49" applyNumberFormat="1" applyFont="1" applyFill="1" applyBorder="1" applyAlignment="1" applyProtection="1">
      <alignment horizontal="center" vertical="top"/>
      <protection locked="0"/>
    </xf>
    <xf numFmtId="9" fontId="5" fillId="0" borderId="57" xfId="49" applyNumberFormat="1" applyFont="1" applyFill="1" applyBorder="1" applyAlignment="1">
      <alignment horizontal="center" vertical="top"/>
    </xf>
    <xf numFmtId="9" fontId="5" fillId="0" borderId="21" xfId="49" applyNumberFormat="1" applyFont="1" applyFill="1" applyBorder="1" applyAlignment="1">
      <alignment horizontal="center" vertical="top"/>
    </xf>
    <xf numFmtId="9" fontId="5" fillId="0" borderId="48" xfId="49" applyNumberFormat="1" applyFont="1" applyFill="1" applyBorder="1" applyAlignment="1">
      <alignment horizontal="center" vertical="top"/>
    </xf>
    <xf numFmtId="0" fontId="5" fillId="0" borderId="11" xfId="49" applyFont="1" applyFill="1" applyBorder="1" applyAlignment="1">
      <alignment horizontal="left" vertical="top" wrapText="1" indent="1"/>
    </xf>
    <xf numFmtId="0" fontId="5" fillId="0" borderId="11" xfId="49" applyFont="1" applyFill="1" applyBorder="1" applyAlignment="1">
      <alignment horizontal="left" vertical="top" wrapText="1"/>
    </xf>
    <xf numFmtId="0" fontId="5" fillId="0" borderId="10" xfId="49" applyFont="1" applyFill="1" applyBorder="1" applyAlignment="1">
      <alignment horizontal="left" vertical="top" wrapText="1"/>
    </xf>
    <xf numFmtId="0" fontId="8" fillId="0" borderId="11" xfId="49" applyFont="1" applyFill="1" applyBorder="1" applyAlignment="1">
      <alignment horizontal="left" wrapText="1"/>
    </xf>
    <xf numFmtId="167" fontId="5" fillId="0" borderId="10" xfId="42" applyNumberFormat="1" applyFont="1" applyFill="1" applyBorder="1" applyAlignment="1" applyProtection="1">
      <alignment horizontal="center" vertical="top" wrapText="1"/>
      <protection locked="0"/>
    </xf>
    <xf numFmtId="167" fontId="5" fillId="0" borderId="41" xfId="42" applyNumberFormat="1" applyFont="1" applyFill="1" applyBorder="1" applyAlignment="1" applyProtection="1">
      <alignment horizontal="center" vertical="top" wrapText="1"/>
      <protection locked="0"/>
    </xf>
    <xf numFmtId="167" fontId="5" fillId="0" borderId="20" xfId="42" applyNumberFormat="1" applyFont="1" applyFill="1" applyBorder="1" applyAlignment="1" applyProtection="1">
      <alignment horizontal="center" vertical="top" wrapText="1"/>
      <protection locked="0"/>
    </xf>
    <xf numFmtId="167" fontId="5" fillId="0" borderId="42" xfId="42" applyNumberFormat="1" applyFont="1" applyFill="1" applyBorder="1" applyAlignment="1" applyProtection="1">
      <alignment horizontal="center" vertical="top" wrapText="1"/>
      <protection locked="0"/>
    </xf>
    <xf numFmtId="0" fontId="5" fillId="0" borderId="10" xfId="49" applyFont="1" applyFill="1" applyBorder="1" applyAlignment="1">
      <alignment horizontal="center" vertical="top"/>
    </xf>
    <xf numFmtId="0" fontId="8" fillId="0" borderId="11" xfId="49" applyFont="1" applyFill="1" applyBorder="1" applyAlignment="1">
      <alignment horizontal="left" vertical="top"/>
    </xf>
    <xf numFmtId="0" fontId="8" fillId="0" borderId="11" xfId="49" applyFont="1" applyFill="1" applyBorder="1" applyAlignment="1">
      <alignment horizontal="left" vertical="top" wrapText="1"/>
    </xf>
    <xf numFmtId="0" fontId="8" fillId="0" borderId="10" xfId="49" applyFont="1" applyFill="1" applyBorder="1" applyAlignment="1">
      <alignment horizontal="left" vertical="top" wrapText="1"/>
    </xf>
    <xf numFmtId="0" fontId="5" fillId="0" borderId="15" xfId="49" applyFont="1" applyFill="1" applyBorder="1" applyAlignment="1">
      <alignment horizontal="left" vertical="top" wrapText="1" indent="1"/>
    </xf>
    <xf numFmtId="0" fontId="5" fillId="0" borderId="15" xfId="49" applyFont="1" applyFill="1" applyBorder="1" applyAlignment="1">
      <alignment horizontal="left" vertical="top" wrapText="1"/>
    </xf>
    <xf numFmtId="0" fontId="5" fillId="0" borderId="17" xfId="49" applyFont="1" applyFill="1" applyBorder="1" applyAlignment="1">
      <alignment horizontal="left" vertical="top" wrapText="1"/>
    </xf>
    <xf numFmtId="167" fontId="5" fillId="0" borderId="17" xfId="42" applyNumberFormat="1" applyFont="1" applyFill="1" applyBorder="1" applyAlignment="1" applyProtection="1">
      <alignment horizontal="center" vertical="top" wrapText="1"/>
      <protection locked="0"/>
    </xf>
    <xf numFmtId="167" fontId="5" fillId="0" borderId="53" xfId="42" applyNumberFormat="1" applyFont="1" applyFill="1" applyBorder="1" applyAlignment="1" applyProtection="1">
      <alignment horizontal="center" vertical="top" wrapText="1"/>
      <protection locked="0"/>
    </xf>
    <xf numFmtId="167" fontId="5" fillId="0" borderId="22" xfId="42" applyNumberFormat="1" applyFont="1" applyFill="1" applyBorder="1" applyAlignment="1" applyProtection="1">
      <alignment horizontal="center" vertical="top" wrapText="1"/>
      <protection locked="0"/>
    </xf>
    <xf numFmtId="167" fontId="5" fillId="0" borderId="45" xfId="42" applyNumberFormat="1" applyFont="1" applyFill="1" applyBorder="1" applyAlignment="1" applyProtection="1">
      <alignment horizontal="center" vertical="top" wrapText="1"/>
      <protection locked="0"/>
    </xf>
    <xf numFmtId="0" fontId="6" fillId="0" borderId="55" xfId="47" applyFont="1" applyFill="1" applyBorder="1" applyAlignment="1">
      <alignment horizontal="center" vertical="center" wrapText="1"/>
    </xf>
    <xf numFmtId="0" fontId="5" fillId="0" borderId="41" xfId="47" applyFont="1" applyFill="1" applyBorder="1"/>
    <xf numFmtId="171" fontId="5" fillId="0" borderId="41" xfId="47" applyNumberFormat="1" applyFont="1" applyFill="1" applyBorder="1" applyProtection="1"/>
    <xf numFmtId="171" fontId="5" fillId="0" borderId="56" xfId="47" applyNumberFormat="1" applyFont="1" applyFill="1" applyBorder="1" applyProtection="1"/>
    <xf numFmtId="171" fontId="6" fillId="0" borderId="56" xfId="47" applyNumberFormat="1" applyFont="1" applyFill="1" applyBorder="1" applyProtection="1"/>
    <xf numFmtId="171" fontId="6" fillId="0" borderId="41" xfId="47" applyNumberFormat="1" applyFont="1" applyFill="1" applyBorder="1" applyProtection="1"/>
    <xf numFmtId="170" fontId="5" fillId="0" borderId="53" xfId="47" applyNumberFormat="1" applyFont="1" applyBorder="1"/>
    <xf numFmtId="170" fontId="5" fillId="0" borderId="57" xfId="47" applyNumberFormat="1" applyFont="1" applyBorder="1"/>
    <xf numFmtId="170" fontId="5" fillId="0" borderId="41" xfId="47" applyNumberFormat="1" applyFont="1" applyBorder="1"/>
    <xf numFmtId="169" fontId="5" fillId="0" borderId="53" xfId="47" applyNumberFormat="1" applyFont="1" applyFill="1" applyBorder="1"/>
    <xf numFmtId="170" fontId="5" fillId="0" borderId="20" xfId="47" applyNumberFormat="1" applyFont="1" applyFill="1" applyBorder="1"/>
    <xf numFmtId="170" fontId="6" fillId="0" borderId="20" xfId="47" applyNumberFormat="1" applyFont="1" applyFill="1" applyBorder="1"/>
    <xf numFmtId="170" fontId="5" fillId="0" borderId="22" xfId="47" applyNumberFormat="1" applyFont="1" applyFill="1" applyBorder="1"/>
    <xf numFmtId="171" fontId="5" fillId="0" borderId="41" xfId="1" applyNumberFormat="1" applyFont="1" applyFill="1" applyBorder="1" applyProtection="1">
      <protection locked="0"/>
    </xf>
    <xf numFmtId="171" fontId="5" fillId="0" borderId="41" xfId="1" applyNumberFormat="1" applyFont="1" applyFill="1" applyBorder="1"/>
    <xf numFmtId="171" fontId="5" fillId="0" borderId="39" xfId="1" applyNumberFormat="1" applyFont="1" applyFill="1" applyBorder="1"/>
    <xf numFmtId="171" fontId="5" fillId="0" borderId="30" xfId="1" applyNumberFormat="1" applyFont="1" applyFill="1" applyBorder="1" applyProtection="1">
      <protection locked="0"/>
    </xf>
    <xf numFmtId="171" fontId="5" fillId="0" borderId="53" xfId="1" applyNumberFormat="1" applyFont="1" applyFill="1" applyBorder="1" applyProtection="1">
      <protection locked="0"/>
    </xf>
    <xf numFmtId="171" fontId="5" fillId="0" borderId="22" xfId="1" applyNumberFormat="1" applyFont="1" applyFill="1" applyBorder="1" applyProtection="1">
      <protection locked="0"/>
    </xf>
    <xf numFmtId="171" fontId="5" fillId="0" borderId="22" xfId="1" applyNumberFormat="1" applyFont="1" applyFill="1" applyBorder="1"/>
    <xf numFmtId="0" fontId="0" fillId="0" borderId="11" xfId="0" applyBorder="1"/>
    <xf numFmtId="0" fontId="6" fillId="0" borderId="64" xfId="47" applyFont="1" applyFill="1" applyBorder="1" applyAlignment="1">
      <alignment horizontal="center" vertical="center" wrapText="1"/>
    </xf>
    <xf numFmtId="171" fontId="6" fillId="0" borderId="24" xfId="49" applyNumberFormat="1" applyFont="1" applyFill="1" applyBorder="1" applyProtection="1"/>
    <xf numFmtId="171" fontId="6" fillId="0" borderId="0" xfId="49" applyNumberFormat="1" applyFont="1" applyFill="1" applyBorder="1" applyProtection="1"/>
    <xf numFmtId="171" fontId="6" fillId="0" borderId="0" xfId="49" applyNumberFormat="1" applyFont="1" applyFill="1" applyBorder="1"/>
    <xf numFmtId="171" fontId="6" fillId="0" borderId="63" xfId="49" applyNumberFormat="1" applyFont="1" applyFill="1" applyBorder="1"/>
    <xf numFmtId="165" fontId="0" fillId="0" borderId="0" xfId="0" applyNumberFormat="1"/>
    <xf numFmtId="171" fontId="5" fillId="0" borderId="23" xfId="0" applyNumberFormat="1" applyFont="1" applyFill="1" applyBorder="1" applyProtection="1">
      <protection locked="0"/>
    </xf>
    <xf numFmtId="171" fontId="5" fillId="0" borderId="21" xfId="0" applyNumberFormat="1" applyFont="1" applyFill="1" applyBorder="1" applyProtection="1">
      <protection locked="0"/>
    </xf>
    <xf numFmtId="171" fontId="5" fillId="0" borderId="48" xfId="0" applyNumberFormat="1" applyFont="1" applyFill="1" applyBorder="1" applyProtection="1">
      <protection locked="0"/>
    </xf>
    <xf numFmtId="171" fontId="5" fillId="0" borderId="30" xfId="0" applyNumberFormat="1" applyFont="1" applyFill="1" applyBorder="1" applyProtection="1">
      <protection locked="0"/>
    </xf>
    <xf numFmtId="171" fontId="5" fillId="0" borderId="22" xfId="0" applyNumberFormat="1" applyFont="1" applyFill="1" applyBorder="1" applyProtection="1">
      <protection locked="0"/>
    </xf>
    <xf numFmtId="167" fontId="5" fillId="0" borderId="22" xfId="51" applyNumberFormat="1" applyFont="1" applyFill="1" applyBorder="1" applyAlignment="1" applyProtection="1">
      <alignment horizontal="center" vertical="top" wrapText="1"/>
      <protection locked="0"/>
    </xf>
    <xf numFmtId="171" fontId="5" fillId="0" borderId="45" xfId="0" applyNumberFormat="1" applyFont="1" applyFill="1" applyBorder="1" applyProtection="1">
      <protection locked="0"/>
    </xf>
    <xf numFmtId="0" fontId="29" fillId="0" borderId="78" xfId="0" applyFont="1" applyBorder="1"/>
    <xf numFmtId="0" fontId="29" fillId="0" borderId="79" xfId="0" applyFont="1" applyBorder="1"/>
    <xf numFmtId="0" fontId="29" fillId="0" borderId="80" xfId="0" applyFont="1" applyBorder="1"/>
    <xf numFmtId="0" fontId="29" fillId="0" borderId="0" xfId="0" applyFont="1" applyBorder="1"/>
    <xf numFmtId="0" fontId="29" fillId="0" borderId="81" xfId="0" applyFont="1" applyBorder="1"/>
    <xf numFmtId="0" fontId="29" fillId="0" borderId="82" xfId="0" applyFont="1" applyBorder="1"/>
    <xf numFmtId="164" fontId="29" fillId="0" borderId="83" xfId="0" applyNumberFormat="1" applyFont="1" applyBorder="1"/>
    <xf numFmtId="164" fontId="29" fillId="0" borderId="84" xfId="0" applyNumberFormat="1" applyFont="1" applyBorder="1"/>
    <xf numFmtId="164" fontId="29" fillId="0" borderId="85" xfId="0" applyNumberFormat="1" applyFont="1" applyBorder="1"/>
    <xf numFmtId="164" fontId="6" fillId="0" borderId="21" xfId="1" applyNumberFormat="1" applyFont="1" applyFill="1" applyBorder="1" applyAlignment="1">
      <alignment horizontal="center"/>
    </xf>
    <xf numFmtId="164" fontId="5" fillId="0" borderId="20" xfId="1" applyNumberFormat="1" applyFont="1" applyFill="1" applyBorder="1"/>
    <xf numFmtId="171" fontId="0" fillId="0" borderId="0" xfId="0" applyNumberFormat="1"/>
    <xf numFmtId="164" fontId="0" fillId="0" borderId="0" xfId="0" applyNumberFormat="1"/>
    <xf numFmtId="0" fontId="29" fillId="0" borderId="0" xfId="0" applyFont="1"/>
    <xf numFmtId="9" fontId="5" fillId="0" borderId="20" xfId="51" applyFont="1" applyBorder="1" applyAlignment="1">
      <alignment horizontal="center"/>
    </xf>
    <xf numFmtId="0" fontId="6" fillId="0" borderId="57" xfId="1" applyFont="1" applyFill="1" applyBorder="1" applyAlignment="1">
      <alignment horizontal="center"/>
    </xf>
    <xf numFmtId="171" fontId="5" fillId="0" borderId="56" xfId="1" applyNumberFormat="1" applyFont="1" applyFill="1" applyBorder="1" applyProtection="1">
      <protection locked="0"/>
    </xf>
    <xf numFmtId="43" fontId="0" fillId="0" borderId="0" xfId="52" applyFont="1"/>
    <xf numFmtId="9" fontId="0" fillId="0" borderId="0" xfId="51" applyFont="1" applyBorder="1"/>
    <xf numFmtId="173" fontId="0" fillId="0" borderId="0" xfId="52" applyNumberFormat="1" applyFont="1"/>
    <xf numFmtId="9" fontId="0" fillId="0" borderId="0" xfId="51" applyFont="1"/>
    <xf numFmtId="0" fontId="0" fillId="0" borderId="0" xfId="0" applyBorder="1"/>
    <xf numFmtId="164" fontId="5" fillId="0" borderId="0" xfId="49" applyNumberFormat="1" applyFont="1" applyFill="1" applyBorder="1"/>
    <xf numFmtId="164" fontId="5" fillId="0" borderId="0" xfId="0" applyNumberFormat="1" applyFont="1" applyBorder="1"/>
    <xf numFmtId="171" fontId="6" fillId="26" borderId="24" xfId="49" applyNumberFormat="1" applyFont="1" applyFill="1" applyBorder="1" applyProtection="1"/>
    <xf numFmtId="171" fontId="6" fillId="26" borderId="41" xfId="49" applyNumberFormat="1" applyFont="1" applyFill="1" applyBorder="1" applyProtection="1"/>
    <xf numFmtId="9" fontId="5" fillId="26" borderId="20" xfId="51" applyFont="1" applyFill="1" applyBorder="1" applyAlignment="1">
      <alignment horizontal="center"/>
    </xf>
    <xf numFmtId="171" fontId="6" fillId="26" borderId="0" xfId="49" applyNumberFormat="1" applyFont="1" applyFill="1" applyBorder="1" applyProtection="1"/>
    <xf numFmtId="9" fontId="6" fillId="26" borderId="20" xfId="51" applyFont="1" applyFill="1" applyBorder="1" applyAlignment="1">
      <alignment horizontal="center"/>
    </xf>
    <xf numFmtId="171" fontId="6" fillId="26" borderId="42" xfId="49" applyNumberFormat="1" applyFont="1" applyFill="1" applyBorder="1" applyProtection="1"/>
    <xf numFmtId="171" fontId="6" fillId="26" borderId="47" xfId="49" applyNumberFormat="1" applyFont="1" applyFill="1" applyBorder="1"/>
    <xf numFmtId="171" fontId="6" fillId="26" borderId="41" xfId="49" applyNumberFormat="1" applyFont="1" applyFill="1" applyBorder="1"/>
    <xf numFmtId="171" fontId="6" fillId="26" borderId="42" xfId="49" applyNumberFormat="1" applyFont="1" applyFill="1" applyBorder="1"/>
    <xf numFmtId="164" fontId="6" fillId="26" borderId="34" xfId="0" applyNumberFormat="1" applyFont="1" applyFill="1" applyBorder="1"/>
    <xf numFmtId="164" fontId="6" fillId="26" borderId="58" xfId="0" applyNumberFormat="1" applyFont="1" applyFill="1" applyBorder="1"/>
    <xf numFmtId="164" fontId="6" fillId="26" borderId="26" xfId="0" applyNumberFormat="1" applyFont="1" applyFill="1" applyBorder="1"/>
    <xf numFmtId="164" fontId="6" fillId="26" borderId="51" xfId="0" applyNumberFormat="1" applyFont="1" applyFill="1" applyBorder="1"/>
    <xf numFmtId="171" fontId="6" fillId="26" borderId="24" xfId="1" applyNumberFormat="1" applyFont="1" applyFill="1" applyBorder="1"/>
    <xf numFmtId="171" fontId="6" fillId="26" borderId="20" xfId="1" applyNumberFormat="1" applyFont="1" applyFill="1" applyBorder="1"/>
    <xf numFmtId="43" fontId="6" fillId="26" borderId="20" xfId="52" applyFont="1" applyFill="1" applyBorder="1"/>
    <xf numFmtId="171" fontId="6" fillId="26" borderId="30" xfId="1" applyNumberFormat="1" applyFont="1" applyFill="1" applyBorder="1"/>
    <xf numFmtId="171" fontId="6" fillId="26" borderId="28" xfId="1" applyNumberFormat="1" applyFont="1" applyFill="1" applyBorder="1" applyAlignment="1">
      <alignment vertical="top"/>
    </xf>
    <xf numFmtId="171" fontId="6" fillId="26" borderId="28" xfId="1" applyNumberFormat="1" applyFont="1" applyFill="1" applyBorder="1"/>
    <xf numFmtId="171" fontId="6" fillId="26" borderId="43" xfId="1" applyNumberFormat="1" applyFont="1" applyFill="1" applyBorder="1"/>
    <xf numFmtId="171" fontId="6" fillId="26" borderId="74" xfId="49" applyNumberFormat="1" applyFont="1" applyFill="1" applyBorder="1"/>
    <xf numFmtId="171" fontId="6" fillId="26" borderId="68" xfId="49" applyNumberFormat="1" applyFont="1" applyFill="1" applyBorder="1"/>
    <xf numFmtId="171" fontId="6" fillId="26" borderId="67" xfId="49" applyNumberFormat="1" applyFont="1" applyFill="1" applyBorder="1"/>
    <xf numFmtId="9" fontId="6" fillId="26" borderId="26" xfId="51" applyFont="1" applyFill="1" applyBorder="1" applyAlignment="1">
      <alignment horizontal="center"/>
    </xf>
    <xf numFmtId="171" fontId="6" fillId="26" borderId="72" xfId="49" applyNumberFormat="1" applyFont="1" applyFill="1" applyBorder="1"/>
    <xf numFmtId="9" fontId="6" fillId="26" borderId="22" xfId="51" applyFont="1" applyFill="1" applyBorder="1" applyAlignment="1">
      <alignment horizontal="center"/>
    </xf>
    <xf numFmtId="171" fontId="6" fillId="26" borderId="77" xfId="49" applyNumberFormat="1" applyFont="1" applyFill="1" applyBorder="1"/>
    <xf numFmtId="171" fontId="5" fillId="26" borderId="10" xfId="49" applyNumberFormat="1" applyFont="1" applyFill="1" applyBorder="1" applyProtection="1">
      <protection locked="0"/>
    </xf>
    <xf numFmtId="171" fontId="5" fillId="26" borderId="41" xfId="49" applyNumberFormat="1" applyFont="1" applyFill="1" applyBorder="1" applyProtection="1">
      <protection locked="0"/>
    </xf>
    <xf numFmtId="171" fontId="5" fillId="26" borderId="20" xfId="49" applyNumberFormat="1" applyFont="1" applyFill="1" applyBorder="1" applyProtection="1">
      <protection locked="0"/>
    </xf>
    <xf numFmtId="171" fontId="5" fillId="26" borderId="20" xfId="0" applyNumberFormat="1" applyFont="1" applyFill="1" applyBorder="1" applyProtection="1">
      <protection locked="0"/>
    </xf>
    <xf numFmtId="171" fontId="5" fillId="26" borderId="49" xfId="49" applyNumberFormat="1" applyFont="1" applyFill="1" applyBorder="1" applyProtection="1">
      <protection locked="0"/>
    </xf>
    <xf numFmtId="171" fontId="5" fillId="26" borderId="61" xfId="49" applyNumberFormat="1" applyFont="1" applyFill="1" applyBorder="1" applyProtection="1">
      <protection locked="0"/>
    </xf>
    <xf numFmtId="171" fontId="5" fillId="26" borderId="32" xfId="49" applyNumberFormat="1" applyFont="1" applyFill="1" applyBorder="1" applyProtection="1">
      <protection locked="0"/>
    </xf>
    <xf numFmtId="171" fontId="6" fillId="26" borderId="66" xfId="49" applyNumberFormat="1" applyFont="1" applyFill="1" applyBorder="1"/>
    <xf numFmtId="9" fontId="6" fillId="26" borderId="28" xfId="51" applyFont="1" applyFill="1" applyBorder="1" applyAlignment="1">
      <alignment horizontal="center"/>
    </xf>
    <xf numFmtId="171" fontId="6" fillId="26" borderId="64" xfId="49" applyNumberFormat="1" applyFont="1" applyFill="1" applyBorder="1"/>
    <xf numFmtId="171" fontId="6" fillId="26" borderId="63" xfId="49" applyNumberFormat="1" applyFont="1" applyFill="1" applyBorder="1"/>
    <xf numFmtId="171" fontId="6" fillId="26" borderId="10" xfId="49" applyNumberFormat="1" applyFont="1" applyFill="1" applyBorder="1"/>
    <xf numFmtId="171" fontId="6" fillId="26" borderId="11" xfId="49" applyNumberFormat="1" applyFont="1" applyFill="1" applyBorder="1"/>
    <xf numFmtId="171" fontId="6" fillId="26" borderId="33" xfId="49" applyNumberFormat="1" applyFont="1" applyFill="1" applyBorder="1"/>
    <xf numFmtId="171" fontId="6" fillId="26" borderId="20" xfId="49" applyNumberFormat="1" applyFont="1" applyFill="1" applyBorder="1"/>
    <xf numFmtId="171" fontId="6" fillId="26" borderId="30" xfId="0" applyNumberFormat="1" applyFont="1" applyFill="1" applyBorder="1"/>
    <xf numFmtId="171" fontId="6" fillId="26" borderId="22" xfId="0" applyNumberFormat="1" applyFont="1" applyFill="1" applyBorder="1"/>
    <xf numFmtId="167" fontId="6" fillId="26" borderId="22" xfId="51" applyNumberFormat="1" applyFont="1" applyFill="1" applyBorder="1" applyAlignment="1">
      <alignment horizontal="center" vertical="top" wrapText="1"/>
    </xf>
    <xf numFmtId="171" fontId="6" fillId="26" borderId="45" xfId="0" applyNumberFormat="1" applyFont="1" applyFill="1" applyBorder="1"/>
    <xf numFmtId="0" fontId="4" fillId="0" borderId="13" xfId="0" applyFont="1" applyFill="1" applyBorder="1" applyAlignment="1">
      <alignment horizontal="left"/>
    </xf>
    <xf numFmtId="43" fontId="0" fillId="0" borderId="0" xfId="0" applyNumberFormat="1"/>
    <xf numFmtId="171" fontId="6" fillId="27" borderId="24" xfId="49" applyNumberFormat="1" applyFont="1" applyFill="1" applyBorder="1"/>
    <xf numFmtId="171" fontId="6" fillId="27" borderId="20" xfId="49" applyNumberFormat="1" applyFont="1" applyFill="1" applyBorder="1"/>
    <xf numFmtId="167" fontId="6" fillId="27" borderId="20" xfId="42" applyNumberFormat="1" applyFont="1" applyFill="1" applyBorder="1" applyAlignment="1">
      <alignment horizontal="center" wrapText="1"/>
    </xf>
    <xf numFmtId="171" fontId="6" fillId="27" borderId="42" xfId="49" applyNumberFormat="1" applyFont="1" applyFill="1" applyBorder="1"/>
    <xf numFmtId="171" fontId="6" fillId="27" borderId="29" xfId="49" applyNumberFormat="1" applyFont="1" applyFill="1" applyBorder="1"/>
    <xf numFmtId="171" fontId="6" fillId="27" borderId="28" xfId="49" applyNumberFormat="1" applyFont="1" applyFill="1" applyBorder="1"/>
    <xf numFmtId="167" fontId="6" fillId="27" borderId="28" xfId="42" applyNumberFormat="1" applyFont="1" applyFill="1" applyBorder="1" applyAlignment="1">
      <alignment horizontal="center" vertical="top" wrapText="1"/>
    </xf>
    <xf numFmtId="171" fontId="6" fillId="27" borderId="43" xfId="49" applyNumberFormat="1" applyFont="1" applyFill="1" applyBorder="1"/>
    <xf numFmtId="171" fontId="6" fillId="27" borderId="27" xfId="49" applyNumberFormat="1" applyFont="1" applyFill="1" applyBorder="1"/>
    <xf numFmtId="171" fontId="6" fillId="27" borderId="26" xfId="49" applyNumberFormat="1" applyFont="1" applyFill="1" applyBorder="1"/>
    <xf numFmtId="167" fontId="6" fillId="27" borderId="26" xfId="42" applyNumberFormat="1" applyFont="1" applyFill="1" applyBorder="1" applyAlignment="1">
      <alignment horizontal="center" vertical="top" wrapText="1"/>
    </xf>
    <xf numFmtId="171" fontId="6" fillId="27" borderId="51" xfId="49" applyNumberFormat="1" applyFont="1" applyFill="1" applyBorder="1"/>
    <xf numFmtId="166" fontId="5" fillId="0" borderId="42" xfId="1" applyNumberFormat="1" applyFont="1" applyFill="1" applyBorder="1" applyProtection="1">
      <protection locked="0"/>
    </xf>
    <xf numFmtId="171" fontId="6" fillId="27" borderId="62" xfId="47" applyNumberFormat="1" applyFont="1" applyFill="1" applyBorder="1" applyAlignment="1" applyProtection="1">
      <alignment vertical="top"/>
    </xf>
    <xf numFmtId="171" fontId="6" fillId="27" borderId="41" xfId="47" applyNumberFormat="1" applyFont="1" applyFill="1" applyBorder="1" applyAlignment="1" applyProtection="1">
      <alignment vertical="top"/>
    </xf>
    <xf numFmtId="171" fontId="6" fillId="27" borderId="20" xfId="47" applyNumberFormat="1" applyFont="1" applyFill="1" applyBorder="1" applyAlignment="1" applyProtection="1">
      <alignment vertical="top"/>
    </xf>
    <xf numFmtId="172" fontId="6" fillId="27" borderId="41" xfId="51" applyNumberFormat="1" applyFont="1" applyFill="1" applyBorder="1" applyAlignment="1">
      <alignment vertical="top"/>
    </xf>
    <xf numFmtId="171" fontId="6" fillId="27" borderId="49" xfId="47" applyNumberFormat="1" applyFont="1" applyFill="1" applyBorder="1" applyProtection="1"/>
    <xf numFmtId="171" fontId="6" fillId="27" borderId="56" xfId="47" applyNumberFormat="1" applyFont="1" applyFill="1" applyBorder="1" applyProtection="1"/>
    <xf numFmtId="171" fontId="6" fillId="27" borderId="32" xfId="47" applyNumberFormat="1" applyFont="1" applyFill="1" applyBorder="1" applyProtection="1"/>
    <xf numFmtId="172" fontId="6" fillId="27" borderId="32" xfId="51" applyNumberFormat="1" applyFont="1" applyFill="1" applyBorder="1"/>
    <xf numFmtId="171" fontId="6" fillId="27" borderId="10" xfId="47" applyNumberFormat="1" applyFont="1" applyFill="1" applyBorder="1" applyProtection="1"/>
    <xf numFmtId="171" fontId="6" fillId="27" borderId="41" xfId="47" applyNumberFormat="1" applyFont="1" applyFill="1" applyBorder="1" applyProtection="1"/>
    <xf numFmtId="171" fontId="6" fillId="27" borderId="20" xfId="47" applyNumberFormat="1" applyFont="1" applyFill="1" applyBorder="1" applyProtection="1"/>
    <xf numFmtId="172" fontId="6" fillId="27" borderId="20" xfId="51" applyNumberFormat="1" applyFont="1" applyFill="1" applyBorder="1"/>
    <xf numFmtId="171" fontId="6" fillId="27" borderId="33" xfId="47" applyNumberFormat="1" applyFont="1" applyFill="1" applyBorder="1" applyProtection="1"/>
    <xf numFmtId="171" fontId="6" fillId="27" borderId="24" xfId="47" applyNumberFormat="1" applyFont="1" applyFill="1" applyBorder="1" applyProtection="1"/>
    <xf numFmtId="171" fontId="6" fillId="27" borderId="61" xfId="47" applyNumberFormat="1" applyFont="1" applyFill="1" applyBorder="1" applyProtection="1"/>
    <xf numFmtId="171" fontId="6" fillId="27" borderId="65" xfId="47" applyNumberFormat="1" applyFont="1" applyFill="1" applyBorder="1" applyProtection="1"/>
    <xf numFmtId="172" fontId="6" fillId="27" borderId="32" xfId="42" applyNumberFormat="1" applyFont="1" applyFill="1" applyBorder="1"/>
    <xf numFmtId="171" fontId="6" fillId="27" borderId="46" xfId="47" applyNumberFormat="1" applyFont="1" applyFill="1" applyBorder="1" applyProtection="1"/>
    <xf numFmtId="171" fontId="6" fillId="27" borderId="62" xfId="47" applyNumberFormat="1" applyFont="1" applyFill="1" applyBorder="1" applyProtection="1"/>
    <xf numFmtId="171" fontId="6" fillId="27" borderId="47" xfId="47" applyNumberFormat="1" applyFont="1" applyFill="1" applyBorder="1" applyProtection="1"/>
    <xf numFmtId="171" fontId="6" fillId="27" borderId="39" xfId="47" applyNumberFormat="1" applyFont="1" applyFill="1" applyBorder="1" applyProtection="1"/>
    <xf numFmtId="171" fontId="6" fillId="27" borderId="87" xfId="0" applyNumberFormat="1" applyFont="1" applyFill="1" applyBorder="1" applyProtection="1"/>
    <xf numFmtId="171" fontId="6" fillId="27" borderId="39" xfId="0" applyNumberFormat="1" applyFont="1" applyFill="1" applyBorder="1" applyProtection="1"/>
    <xf numFmtId="172" fontId="6" fillId="27" borderId="39" xfId="51" applyNumberFormat="1" applyFont="1" applyFill="1" applyBorder="1"/>
    <xf numFmtId="171" fontId="6" fillId="27" borderId="44" xfId="0" applyNumberFormat="1" applyFont="1" applyFill="1" applyBorder="1" applyProtection="1"/>
    <xf numFmtId="0" fontId="6" fillId="27" borderId="64" xfId="47" applyFont="1" applyFill="1" applyBorder="1" applyAlignment="1">
      <alignment horizontal="center" vertical="center" wrapText="1"/>
    </xf>
    <xf numFmtId="0" fontId="6" fillId="27" borderId="66" xfId="47" applyFont="1" applyFill="1" applyBorder="1" applyAlignment="1">
      <alignment horizontal="center" vertical="center" wrapText="1"/>
    </xf>
    <xf numFmtId="0" fontId="6" fillId="27" borderId="67" xfId="47" applyFont="1" applyFill="1" applyBorder="1" applyAlignment="1">
      <alignment horizontal="center" vertical="center" wrapText="1"/>
    </xf>
    <xf numFmtId="0" fontId="6" fillId="27" borderId="76" xfId="47" applyFont="1" applyFill="1" applyBorder="1" applyAlignment="1">
      <alignment horizontal="center" vertical="center" wrapText="1"/>
    </xf>
    <xf numFmtId="172" fontId="6" fillId="27" borderId="20" xfId="42" applyNumberFormat="1" applyFont="1" applyFill="1" applyBorder="1"/>
    <xf numFmtId="171" fontId="6" fillId="27" borderId="42" xfId="47" applyNumberFormat="1" applyFont="1" applyFill="1" applyBorder="1" applyProtection="1"/>
    <xf numFmtId="0" fontId="8" fillId="0" borderId="15" xfId="1" applyFont="1" applyFill="1" applyBorder="1" applyAlignment="1">
      <alignment horizontal="left" vertical="center"/>
    </xf>
    <xf numFmtId="171" fontId="5" fillId="0" borderId="41" xfId="53" applyNumberFormat="1" applyFont="1" applyFill="1" applyBorder="1" applyProtection="1">
      <protection locked="0"/>
    </xf>
    <xf numFmtId="171" fontId="5" fillId="0" borderId="41" xfId="53" applyNumberFormat="1" applyFont="1" applyFill="1" applyBorder="1" applyProtection="1">
      <protection locked="0"/>
    </xf>
    <xf numFmtId="171" fontId="5" fillId="0" borderId="24" xfId="53" applyNumberFormat="1" applyFont="1" applyFill="1" applyBorder="1" applyProtection="1">
      <protection locked="0"/>
    </xf>
    <xf numFmtId="171" fontId="5" fillId="0" borderId="24" xfId="53" applyNumberFormat="1" applyFont="1" applyFill="1" applyBorder="1" applyProtection="1">
      <protection locked="0"/>
    </xf>
    <xf numFmtId="171" fontId="5" fillId="0" borderId="20" xfId="53" applyNumberFormat="1" applyFont="1" applyFill="1" applyBorder="1" applyProtection="1">
      <protection locked="0"/>
    </xf>
    <xf numFmtId="171" fontId="5" fillId="0" borderId="24" xfId="53" applyNumberFormat="1" applyFont="1" applyFill="1" applyBorder="1" applyProtection="1">
      <protection locked="0"/>
    </xf>
    <xf numFmtId="171" fontId="5" fillId="0" borderId="39" xfId="53" applyNumberFormat="1" applyFont="1" applyFill="1" applyBorder="1" applyProtection="1">
      <protection locked="0"/>
    </xf>
    <xf numFmtId="171" fontId="5" fillId="0" borderId="47" xfId="53" applyNumberFormat="1" applyFont="1" applyFill="1" applyBorder="1" applyProtection="1">
      <protection locked="0"/>
    </xf>
    <xf numFmtId="171" fontId="5" fillId="0" borderId="20" xfId="53" applyNumberFormat="1" applyFont="1" applyFill="1" applyBorder="1" applyProtection="1">
      <protection locked="0"/>
    </xf>
    <xf numFmtId="171" fontId="5" fillId="0" borderId="24" xfId="53" applyNumberFormat="1" applyFont="1" applyFill="1" applyBorder="1" applyProtection="1"/>
    <xf numFmtId="171" fontId="5" fillId="0" borderId="61" xfId="53" applyNumberFormat="1" applyFont="1" applyFill="1" applyBorder="1" applyProtection="1"/>
    <xf numFmtId="171" fontId="5" fillId="0" borderId="24" xfId="53" applyNumberFormat="1" applyFont="1" applyFill="1" applyBorder="1" applyProtection="1"/>
    <xf numFmtId="171" fontId="5" fillId="0" borderId="24" xfId="53" applyNumberFormat="1" applyFont="1" applyFill="1" applyBorder="1" applyProtection="1"/>
    <xf numFmtId="171" fontId="5" fillId="0" borderId="24" xfId="53" applyNumberFormat="1" applyFont="1" applyFill="1" applyBorder="1" applyProtection="1"/>
    <xf numFmtId="171" fontId="5" fillId="0" borderId="24" xfId="53" applyNumberFormat="1" applyFont="1" applyFill="1" applyBorder="1" applyProtection="1"/>
    <xf numFmtId="170" fontId="5" fillId="0" borderId="24" xfId="53" applyNumberFormat="1" applyFont="1" applyBorder="1"/>
    <xf numFmtId="171" fontId="5" fillId="0" borderId="24" xfId="53" applyNumberFormat="1" applyFont="1" applyFill="1" applyBorder="1" applyProtection="1"/>
    <xf numFmtId="9" fontId="5" fillId="0" borderId="20" xfId="51" applyFont="1" applyFill="1" applyBorder="1" applyAlignment="1">
      <alignment horizontal="center"/>
    </xf>
    <xf numFmtId="9" fontId="6" fillId="26" borderId="28" xfId="51" applyFont="1" applyFill="1" applyBorder="1" applyAlignment="1">
      <alignment horizontal="center" vertical="top"/>
    </xf>
    <xf numFmtId="165" fontId="0" fillId="0" borderId="0" xfId="0" applyNumberFormat="1" applyBorder="1"/>
    <xf numFmtId="171" fontId="6" fillId="26" borderId="43" xfId="1" applyNumberFormat="1" applyFont="1" applyFill="1" applyBorder="1" applyAlignment="1">
      <alignment vertical="top"/>
    </xf>
    <xf numFmtId="171" fontId="6" fillId="26" borderId="42" xfId="1" applyNumberFormat="1" applyFont="1" applyFill="1" applyBorder="1"/>
    <xf numFmtId="0" fontId="6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6" fillId="0" borderId="35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vertical="center" wrapText="1"/>
    </xf>
    <xf numFmtId="0" fontId="6" fillId="0" borderId="11" xfId="0" applyFont="1" applyBorder="1"/>
    <xf numFmtId="0" fontId="5" fillId="0" borderId="10" xfId="0" applyFont="1" applyBorder="1" applyAlignment="1">
      <alignment horizontal="center"/>
    </xf>
    <xf numFmtId="0" fontId="5" fillId="0" borderId="24" xfId="0" applyFont="1" applyBorder="1"/>
    <xf numFmtId="0" fontId="5" fillId="0" borderId="20" xfId="0" applyFont="1" applyBorder="1"/>
    <xf numFmtId="0" fontId="5" fillId="0" borderId="33" xfId="0" applyFont="1" applyBorder="1"/>
    <xf numFmtId="0" fontId="5" fillId="0" borderId="10" xfId="0" applyFont="1" applyBorder="1"/>
    <xf numFmtId="0" fontId="5" fillId="0" borderId="12" xfId="0" applyFont="1" applyBorder="1"/>
    <xf numFmtId="0" fontId="5" fillId="0" borderId="11" xfId="0" applyFont="1" applyBorder="1" applyAlignment="1">
      <alignment horizontal="left" indent="1"/>
    </xf>
    <xf numFmtId="0" fontId="6" fillId="0" borderId="25" xfId="0" applyFont="1" applyBorder="1"/>
    <xf numFmtId="0" fontId="6" fillId="0" borderId="34" xfId="0" applyFont="1" applyBorder="1" applyAlignment="1">
      <alignment horizontal="center"/>
    </xf>
    <xf numFmtId="171" fontId="6" fillId="0" borderId="27" xfId="0" applyNumberFormat="1" applyFont="1" applyBorder="1"/>
    <xf numFmtId="171" fontId="6" fillId="0" borderId="26" xfId="0" applyNumberFormat="1" applyFont="1" applyBorder="1"/>
    <xf numFmtId="171" fontId="6" fillId="0" borderId="88" xfId="0" applyNumberFormat="1" applyFont="1" applyBorder="1"/>
    <xf numFmtId="171" fontId="6" fillId="0" borderId="34" xfId="0" applyNumberFormat="1" applyFont="1" applyBorder="1"/>
    <xf numFmtId="171" fontId="6" fillId="0" borderId="75" xfId="0" applyNumberFormat="1" applyFont="1" applyBorder="1"/>
    <xf numFmtId="0" fontId="6" fillId="0" borderId="63" xfId="0" applyFont="1" applyBorder="1"/>
    <xf numFmtId="0" fontId="6" fillId="0" borderId="64" xfId="0" applyFont="1" applyBorder="1" applyAlignment="1">
      <alignment horizontal="center"/>
    </xf>
    <xf numFmtId="171" fontId="6" fillId="0" borderId="75" xfId="0" applyNumberFormat="1" applyFont="1" applyFill="1" applyBorder="1"/>
    <xf numFmtId="171" fontId="6" fillId="0" borderId="17" xfId="0" applyNumberFormat="1" applyFont="1" applyBorder="1"/>
    <xf numFmtId="171" fontId="5" fillId="0" borderId="33" xfId="0" applyNumberFormat="1" applyFont="1" applyFill="1" applyBorder="1" applyProtection="1">
      <protection locked="0"/>
    </xf>
    <xf numFmtId="171" fontId="6" fillId="0" borderId="27" xfId="0" applyNumberFormat="1" applyFont="1" applyFill="1" applyBorder="1"/>
    <xf numFmtId="171" fontId="6" fillId="0" borderId="26" xfId="0" applyNumberFormat="1" applyFont="1" applyFill="1" applyBorder="1"/>
    <xf numFmtId="171" fontId="6" fillId="0" borderId="88" xfId="0" applyNumberFormat="1" applyFont="1" applyFill="1" applyBorder="1"/>
    <xf numFmtId="171" fontId="6" fillId="0" borderId="34" xfId="0" applyNumberFormat="1" applyFont="1" applyFill="1" applyBorder="1"/>
    <xf numFmtId="171" fontId="5" fillId="0" borderId="64" xfId="0" applyNumberFormat="1" applyFont="1" applyFill="1" applyBorder="1"/>
    <xf numFmtId="171" fontId="6" fillId="0" borderId="76" xfId="0" applyNumberFormat="1" applyFont="1" applyFill="1" applyBorder="1"/>
    <xf numFmtId="12" fontId="5" fillId="0" borderId="68" xfId="0" applyNumberFormat="1" applyFont="1" applyFill="1" applyBorder="1" applyProtection="1">
      <protection locked="0"/>
    </xf>
    <xf numFmtId="12" fontId="5" fillId="0" borderId="76" xfId="0" applyNumberFormat="1" applyFont="1" applyFill="1" applyBorder="1" applyProtection="1">
      <protection locked="0"/>
    </xf>
    <xf numFmtId="171" fontId="5" fillId="0" borderId="10" xfId="0" applyNumberFormat="1" applyFont="1" applyFill="1" applyBorder="1" applyProtection="1">
      <protection locked="0"/>
    </xf>
    <xf numFmtId="171" fontId="5" fillId="0" borderId="49" xfId="0" applyNumberFormat="1" applyFont="1" applyFill="1" applyBorder="1" applyProtection="1">
      <protection locked="0"/>
    </xf>
    <xf numFmtId="0" fontId="6" fillId="0" borderId="30" xfId="1" applyFont="1" applyFill="1" applyBorder="1" applyAlignment="1">
      <alignment horizontal="center"/>
    </xf>
    <xf numFmtId="171" fontId="5" fillId="0" borderId="66" xfId="0" applyNumberFormat="1" applyFont="1" applyFill="1" applyBorder="1" applyProtection="1">
      <protection locked="0"/>
    </xf>
    <xf numFmtId="9" fontId="6" fillId="26" borderId="0" xfId="51" applyFont="1" applyFill="1" applyBorder="1"/>
    <xf numFmtId="9" fontId="5" fillId="0" borderId="20" xfId="51" applyFont="1" applyFill="1" applyBorder="1"/>
    <xf numFmtId="9" fontId="5" fillId="0" borderId="22" xfId="51" applyFont="1" applyFill="1" applyBorder="1"/>
    <xf numFmtId="43" fontId="5" fillId="0" borderId="39" xfId="52" applyFont="1" applyFill="1" applyBorder="1" applyProtection="1">
      <protection locked="0"/>
    </xf>
    <xf numFmtId="43" fontId="5" fillId="0" borderId="39" xfId="52" applyFont="1" applyFill="1" applyBorder="1"/>
    <xf numFmtId="43" fontId="5" fillId="0" borderId="44" xfId="52" applyFont="1" applyFill="1" applyBorder="1" applyProtection="1">
      <protection locked="0"/>
    </xf>
    <xf numFmtId="43" fontId="5" fillId="0" borderId="20" xfId="52" applyFont="1" applyFill="1" applyBorder="1" applyProtection="1">
      <protection locked="0"/>
    </xf>
    <xf numFmtId="43" fontId="5" fillId="0" borderId="20" xfId="52" applyFont="1" applyFill="1" applyBorder="1"/>
    <xf numFmtId="43" fontId="5" fillId="0" borderId="42" xfId="52" applyFont="1" applyFill="1" applyBorder="1" applyProtection="1">
      <protection locked="0"/>
    </xf>
    <xf numFmtId="43" fontId="5" fillId="0" borderId="47" xfId="52" applyFont="1" applyFill="1" applyBorder="1" applyProtection="1">
      <protection locked="0"/>
    </xf>
    <xf numFmtId="43" fontId="5" fillId="0" borderId="24" xfId="52" applyFont="1" applyFill="1" applyBorder="1" applyProtection="1">
      <protection locked="0"/>
    </xf>
    <xf numFmtId="43" fontId="6" fillId="26" borderId="24" xfId="52" applyFont="1" applyFill="1" applyBorder="1"/>
    <xf numFmtId="43" fontId="6" fillId="26" borderId="42" xfId="52" applyFont="1" applyFill="1" applyBorder="1"/>
    <xf numFmtId="43" fontId="6" fillId="26" borderId="29" xfId="52" applyFont="1" applyFill="1" applyBorder="1"/>
    <xf numFmtId="43" fontId="6" fillId="26" borderId="28" xfId="52" applyFont="1" applyFill="1" applyBorder="1"/>
    <xf numFmtId="43" fontId="6" fillId="26" borderId="43" xfId="52" applyFont="1" applyFill="1" applyBorder="1"/>
    <xf numFmtId="43" fontId="5" fillId="0" borderId="24" xfId="52" applyFont="1" applyFill="1" applyBorder="1"/>
    <xf numFmtId="43" fontId="5" fillId="0" borderId="42" xfId="52" applyFont="1" applyFill="1" applyBorder="1"/>
    <xf numFmtId="43" fontId="6" fillId="26" borderId="47" xfId="52" applyFont="1" applyFill="1" applyBorder="1"/>
    <xf numFmtId="43" fontId="6" fillId="26" borderId="39" xfId="52" applyFont="1" applyFill="1" applyBorder="1"/>
    <xf numFmtId="43" fontId="6" fillId="26" borderId="44" xfId="52" applyFont="1" applyFill="1" applyBorder="1"/>
    <xf numFmtId="43" fontId="5" fillId="0" borderId="61" xfId="52" applyFont="1" applyFill="1" applyBorder="1"/>
    <xf numFmtId="43" fontId="5" fillId="0" borderId="32" xfId="52" applyFont="1" applyFill="1" applyBorder="1"/>
    <xf numFmtId="43" fontId="5" fillId="0" borderId="46" xfId="52" applyFont="1" applyFill="1" applyBorder="1"/>
    <xf numFmtId="9" fontId="6" fillId="0" borderId="19" xfId="51" applyFont="1" applyFill="1" applyBorder="1" applyAlignment="1">
      <alignment horizontal="centerContinuous" vertical="center" wrapText="1"/>
    </xf>
    <xf numFmtId="9" fontId="6" fillId="0" borderId="39" xfId="51" applyFont="1" applyFill="1" applyBorder="1" applyAlignment="1">
      <alignment horizontal="center" vertical="center" wrapText="1"/>
    </xf>
    <xf numFmtId="9" fontId="6" fillId="0" borderId="32" xfId="51" applyFont="1" applyFill="1" applyBorder="1" applyAlignment="1">
      <alignment horizontal="center" vertical="center"/>
    </xf>
    <xf numFmtId="9" fontId="6" fillId="0" borderId="20" xfId="51" applyFont="1" applyFill="1" applyBorder="1"/>
    <xf numFmtId="9" fontId="6" fillId="26" borderId="20" xfId="51" applyFont="1" applyFill="1" applyBorder="1" applyAlignment="1">
      <alignment horizontal="center" wrapText="1"/>
    </xf>
    <xf numFmtId="9" fontId="5" fillId="0" borderId="39" xfId="51" applyFont="1" applyFill="1" applyBorder="1" applyAlignment="1">
      <alignment horizontal="center" vertical="top" wrapText="1"/>
    </xf>
    <xf numFmtId="9" fontId="5" fillId="0" borderId="20" xfId="51" applyFont="1" applyFill="1" applyBorder="1" applyAlignment="1">
      <alignment horizontal="center" vertical="top" wrapText="1"/>
    </xf>
    <xf numFmtId="9" fontId="6" fillId="26" borderId="28" xfId="51" applyFont="1" applyFill="1" applyBorder="1" applyAlignment="1">
      <alignment horizontal="center" vertical="top" wrapText="1"/>
    </xf>
    <xf numFmtId="9" fontId="6" fillId="26" borderId="39" xfId="51" applyFont="1" applyFill="1" applyBorder="1" applyAlignment="1">
      <alignment horizontal="center" vertical="top" wrapText="1"/>
    </xf>
    <xf numFmtId="9" fontId="5" fillId="0" borderId="32" xfId="51" applyFont="1" applyFill="1" applyBorder="1" applyAlignment="1">
      <alignment horizontal="center" vertical="top" wrapText="1"/>
    </xf>
    <xf numFmtId="9" fontId="0" fillId="0" borderId="0" xfId="51" applyFont="1" applyFill="1"/>
    <xf numFmtId="43" fontId="5" fillId="0" borderId="20" xfId="52" applyFont="1" applyFill="1" applyBorder="1" applyAlignment="1" applyProtection="1">
      <alignment vertical="center"/>
      <protection locked="0"/>
    </xf>
    <xf numFmtId="43" fontId="5" fillId="0" borderId="20" xfId="52" applyFont="1" applyFill="1" applyBorder="1" applyAlignment="1">
      <alignment vertical="center"/>
    </xf>
    <xf numFmtId="0" fontId="0" fillId="0" borderId="0" xfId="0" applyAlignment="1">
      <alignment vertical="center"/>
    </xf>
    <xf numFmtId="171" fontId="5" fillId="0" borderId="20" xfId="49" applyNumberFormat="1" applyFont="1" applyFill="1" applyBorder="1" applyAlignment="1" applyProtection="1">
      <alignment vertical="center"/>
    </xf>
    <xf numFmtId="171" fontId="5" fillId="0" borderId="20" xfId="49" applyNumberFormat="1" applyFont="1" applyBorder="1" applyAlignment="1">
      <alignment vertical="center"/>
    </xf>
    <xf numFmtId="167" fontId="5" fillId="0" borderId="20" xfId="51" applyNumberFormat="1" applyFont="1" applyFill="1" applyBorder="1" applyAlignment="1" applyProtection="1">
      <alignment horizontal="center" vertical="center" wrapText="1"/>
      <protection locked="0"/>
    </xf>
    <xf numFmtId="171" fontId="5" fillId="0" borderId="22" xfId="0" applyNumberFormat="1" applyFont="1" applyFill="1" applyBorder="1" applyAlignment="1" applyProtection="1">
      <alignment vertical="center"/>
      <protection locked="0"/>
    </xf>
    <xf numFmtId="164" fontId="6" fillId="0" borderId="10" xfId="0" applyNumberFormat="1" applyFont="1" applyFill="1" applyBorder="1" applyAlignment="1">
      <alignment vertical="center"/>
    </xf>
    <xf numFmtId="171" fontId="5" fillId="0" borderId="10" xfId="0" applyNumberFormat="1" applyFont="1" applyFill="1" applyBorder="1" applyAlignment="1" applyProtection="1">
      <alignment vertical="center"/>
      <protection locked="0"/>
    </xf>
    <xf numFmtId="43" fontId="5" fillId="0" borderId="44" xfId="52" applyFont="1" applyFill="1" applyBorder="1" applyAlignment="1" applyProtection="1">
      <alignment vertical="center"/>
      <protection locked="0"/>
    </xf>
    <xf numFmtId="9" fontId="5" fillId="0" borderId="42" xfId="42" applyFont="1" applyFill="1" applyBorder="1" applyAlignment="1" applyProtection="1">
      <alignment horizontal="center" vertical="center"/>
    </xf>
    <xf numFmtId="164" fontId="5" fillId="0" borderId="42" xfId="0" applyNumberFormat="1" applyFont="1" applyFill="1" applyBorder="1" applyAlignment="1" applyProtection="1">
      <alignment vertical="center"/>
      <protection locked="0"/>
    </xf>
    <xf numFmtId="0" fontId="6" fillId="0" borderId="55" xfId="1" applyFont="1" applyFill="1" applyBorder="1" applyAlignment="1">
      <alignment horizontal="center" vertical="center" wrapText="1"/>
    </xf>
    <xf numFmtId="171" fontId="6" fillId="26" borderId="41" xfId="1" applyNumberFormat="1" applyFont="1" applyFill="1" applyBorder="1"/>
    <xf numFmtId="171" fontId="6" fillId="26" borderId="28" xfId="1" applyNumberFormat="1" applyFont="1" applyFill="1" applyBorder="1" applyAlignment="1">
      <alignment horizontal="center" vertical="top"/>
    </xf>
    <xf numFmtId="171" fontId="5" fillId="0" borderId="32" xfId="1" applyNumberFormat="1" applyFont="1" applyFill="1" applyBorder="1" applyAlignment="1">
      <alignment horizontal="center"/>
    </xf>
    <xf numFmtId="171" fontId="5" fillId="0" borderId="42" xfId="1" applyNumberFormat="1" applyFont="1" applyFill="1" applyBorder="1" applyAlignment="1" applyProtection="1">
      <alignment horizontal="center"/>
      <protection locked="0"/>
    </xf>
    <xf numFmtId="171" fontId="6" fillId="26" borderId="42" xfId="1" applyNumberFormat="1" applyFont="1" applyFill="1" applyBorder="1" applyAlignment="1">
      <alignment horizontal="center"/>
    </xf>
    <xf numFmtId="171" fontId="5" fillId="0" borderId="20" xfId="1" applyNumberFormat="1" applyFont="1" applyFill="1" applyBorder="1" applyAlignment="1">
      <alignment horizontal="center"/>
    </xf>
    <xf numFmtId="171" fontId="5" fillId="0" borderId="22" xfId="1" applyNumberFormat="1" applyFont="1" applyFill="1" applyBorder="1" applyAlignment="1">
      <alignment horizontal="center"/>
    </xf>
    <xf numFmtId="171" fontId="5" fillId="0" borderId="45" xfId="1" applyNumberFormat="1" applyFont="1" applyFill="1" applyBorder="1" applyAlignment="1" applyProtection="1">
      <alignment horizontal="center"/>
      <protection locked="0"/>
    </xf>
    <xf numFmtId="9" fontId="6" fillId="26" borderId="30" xfId="51" applyFont="1" applyFill="1" applyBorder="1" applyAlignment="1">
      <alignment horizontal="center"/>
    </xf>
    <xf numFmtId="171" fontId="6" fillId="26" borderId="64" xfId="1" applyNumberFormat="1" applyFont="1" applyFill="1" applyBorder="1" applyAlignment="1">
      <alignment horizontal="center"/>
    </xf>
    <xf numFmtId="0" fontId="5" fillId="0" borderId="53" xfId="49" applyFont="1" applyBorder="1" applyAlignment="1">
      <alignment horizontal="center"/>
    </xf>
    <xf numFmtId="0" fontId="5" fillId="0" borderId="22" xfId="49" applyFont="1" applyBorder="1" applyAlignment="1">
      <alignment horizontal="center"/>
    </xf>
    <xf numFmtId="171" fontId="5" fillId="0" borderId="41" xfId="0" applyNumberFormat="1" applyFont="1" applyFill="1" applyBorder="1" applyProtection="1">
      <protection locked="0"/>
    </xf>
    <xf numFmtId="168" fontId="6" fillId="0" borderId="41" xfId="49" applyNumberFormat="1" applyFont="1" applyFill="1" applyBorder="1"/>
    <xf numFmtId="43" fontId="6" fillId="26" borderId="41" xfId="52" applyFont="1" applyFill="1" applyBorder="1"/>
    <xf numFmtId="43" fontId="5" fillId="0" borderId="55" xfId="52" applyFont="1" applyFill="1" applyBorder="1" applyProtection="1">
      <protection locked="0"/>
    </xf>
    <xf numFmtId="43" fontId="5" fillId="0" borderId="41" xfId="52" applyFont="1" applyFill="1" applyBorder="1" applyProtection="1">
      <protection locked="0"/>
    </xf>
    <xf numFmtId="43" fontId="6" fillId="26" borderId="89" xfId="52" applyFont="1" applyFill="1" applyBorder="1"/>
    <xf numFmtId="43" fontId="5" fillId="0" borderId="41" xfId="52" applyFont="1" applyFill="1" applyBorder="1"/>
    <xf numFmtId="43" fontId="6" fillId="26" borderId="55" xfId="52" applyFont="1" applyFill="1" applyBorder="1"/>
    <xf numFmtId="43" fontId="5" fillId="0" borderId="56" xfId="52" applyFont="1" applyFill="1" applyBorder="1"/>
    <xf numFmtId="43" fontId="6" fillId="26" borderId="27" xfId="52" applyFont="1" applyFill="1" applyBorder="1"/>
    <xf numFmtId="43" fontId="6" fillId="26" borderId="58" xfId="52" applyFont="1" applyFill="1" applyBorder="1"/>
    <xf numFmtId="43" fontId="6" fillId="26" borderId="26" xfId="52" applyFont="1" applyFill="1" applyBorder="1"/>
    <xf numFmtId="9" fontId="6" fillId="26" borderId="26" xfId="51" applyFont="1" applyFill="1" applyBorder="1" applyAlignment="1">
      <alignment horizontal="center" vertical="top" wrapText="1"/>
    </xf>
    <xf numFmtId="43" fontId="6" fillId="26" borderId="51" xfId="52" applyFont="1" applyFill="1" applyBorder="1"/>
    <xf numFmtId="171" fontId="5" fillId="0" borderId="41" xfId="53" applyNumberFormat="1" applyFont="1" applyFill="1" applyBorder="1" applyProtection="1"/>
    <xf numFmtId="171" fontId="5" fillId="0" borderId="56" xfId="53" applyNumberFormat="1" applyFont="1" applyFill="1" applyBorder="1" applyProtection="1"/>
    <xf numFmtId="171" fontId="6" fillId="27" borderId="55" xfId="47" applyNumberFormat="1" applyFont="1" applyFill="1" applyBorder="1" applyProtection="1"/>
    <xf numFmtId="0" fontId="6" fillId="27" borderId="63" xfId="47" applyFont="1" applyFill="1" applyBorder="1" applyAlignment="1">
      <alignment horizontal="center" vertical="center" wrapText="1"/>
    </xf>
    <xf numFmtId="170" fontId="5" fillId="0" borderId="41" xfId="53" applyNumberFormat="1" applyFont="1" applyBorder="1"/>
    <xf numFmtId="171" fontId="6" fillId="26" borderId="33" xfId="1" applyNumberFormat="1" applyFont="1" applyFill="1" applyBorder="1"/>
    <xf numFmtId="171" fontId="6" fillId="26" borderId="0" xfId="1" applyNumberFormat="1" applyFont="1" applyFill="1" applyBorder="1"/>
    <xf numFmtId="0" fontId="0" fillId="0" borderId="0" xfId="0" applyAlignment="1">
      <alignment horizontal="center" wrapText="1"/>
    </xf>
    <xf numFmtId="0" fontId="6" fillId="0" borderId="35" xfId="47" applyFont="1" applyFill="1" applyBorder="1" applyAlignment="1">
      <alignment horizontal="center" vertical="center"/>
    </xf>
    <xf numFmtId="0" fontId="3" fillId="0" borderId="10" xfId="47" applyFont="1" applyBorder="1"/>
    <xf numFmtId="0" fontId="6" fillId="0" borderId="60" xfId="47" applyFont="1" applyFill="1" applyBorder="1" applyAlignment="1">
      <alignment horizontal="center" vertical="center" wrapText="1"/>
    </xf>
    <xf numFmtId="0" fontId="6" fillId="0" borderId="37" xfId="47" applyFont="1" applyFill="1" applyBorder="1" applyAlignment="1">
      <alignment horizontal="center" vertical="center" wrapText="1"/>
    </xf>
    <xf numFmtId="0" fontId="6" fillId="0" borderId="18" xfId="47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48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60" xfId="1" applyFont="1" applyFill="1" applyBorder="1" applyAlignment="1">
      <alignment horizontal="center" vertical="center" wrapText="1"/>
    </xf>
    <xf numFmtId="0" fontId="6" fillId="0" borderId="37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left"/>
    </xf>
    <xf numFmtId="0" fontId="29" fillId="0" borderId="86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4" fillId="0" borderId="13" xfId="49" applyFont="1" applyFill="1" applyBorder="1" applyAlignment="1">
      <alignment horizontal="left" wrapText="1"/>
    </xf>
    <xf numFmtId="0" fontId="6" fillId="0" borderId="14" xfId="49" applyFont="1" applyFill="1" applyBorder="1" applyAlignment="1">
      <alignment horizontal="center" vertical="center"/>
    </xf>
    <xf numFmtId="0" fontId="6" fillId="0" borderId="11" xfId="49" applyFont="1" applyFill="1" applyBorder="1" applyAlignment="1">
      <alignment horizontal="center" vertical="center"/>
    </xf>
    <xf numFmtId="0" fontId="6" fillId="0" borderId="48" xfId="49" applyFont="1" applyFill="1" applyBorder="1" applyAlignment="1">
      <alignment horizontal="center" vertical="center"/>
    </xf>
    <xf numFmtId="0" fontId="6" fillId="0" borderId="42" xfId="49" applyFont="1" applyFill="1" applyBorder="1" applyAlignment="1">
      <alignment horizontal="center" vertical="center"/>
    </xf>
    <xf numFmtId="0" fontId="6" fillId="0" borderId="35" xfId="49" applyFont="1" applyFill="1" applyBorder="1" applyAlignment="1">
      <alignment horizontal="center" vertical="center"/>
    </xf>
    <xf numFmtId="0" fontId="6" fillId="0" borderId="10" xfId="49" applyFont="1" applyFill="1" applyBorder="1" applyAlignment="1">
      <alignment horizontal="center" vertical="center"/>
    </xf>
    <xf numFmtId="0" fontId="4" fillId="0" borderId="13" xfId="49" applyFont="1" applyFill="1" applyBorder="1" applyAlignment="1">
      <alignment horizontal="left" vertical="top" wrapText="1"/>
    </xf>
    <xf numFmtId="0" fontId="4" fillId="0" borderId="13" xfId="49" applyFont="1" applyFill="1" applyBorder="1" applyAlignment="1">
      <alignment horizontal="left"/>
    </xf>
    <xf numFmtId="0" fontId="6" fillId="0" borderId="14" xfId="49" applyFont="1" applyFill="1" applyBorder="1" applyAlignment="1">
      <alignment horizontal="center" vertical="center" wrapText="1"/>
    </xf>
    <xf numFmtId="0" fontId="6" fillId="0" borderId="11" xfId="49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60" xfId="0" applyFont="1" applyFill="1" applyBorder="1" applyAlignment="1">
      <alignment horizontal="center" wrapText="1"/>
    </xf>
    <xf numFmtId="0" fontId="6" fillId="0" borderId="37" xfId="0" applyFont="1" applyFill="1" applyBorder="1" applyAlignment="1">
      <alignment horizontal="center" wrapText="1"/>
    </xf>
    <xf numFmtId="0" fontId="6" fillId="0" borderId="18" xfId="0" applyFont="1" applyFill="1" applyBorder="1" applyAlignment="1">
      <alignment horizont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2" fillId="0" borderId="11" xfId="0" applyFont="1" applyFill="1" applyBorder="1"/>
    <xf numFmtId="0" fontId="6" fillId="0" borderId="3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48" xfId="0" applyFont="1" applyFill="1" applyBorder="1" applyAlignment="1">
      <alignment horizontal="center" vertical="top" wrapText="1"/>
    </xf>
    <xf numFmtId="0" fontId="6" fillId="0" borderId="45" xfId="0" applyFont="1" applyFill="1" applyBorder="1" applyAlignment="1">
      <alignment horizontal="center" vertical="top" wrapText="1"/>
    </xf>
    <xf numFmtId="0" fontId="6" fillId="0" borderId="60" xfId="49" applyFont="1" applyFill="1" applyBorder="1" applyAlignment="1">
      <alignment horizontal="center" vertical="center" wrapText="1"/>
    </xf>
    <xf numFmtId="0" fontId="6" fillId="0" borderId="37" xfId="49" applyFont="1" applyFill="1" applyBorder="1" applyAlignment="1">
      <alignment horizontal="center" vertical="center" wrapText="1"/>
    </xf>
    <xf numFmtId="0" fontId="6" fillId="0" borderId="18" xfId="49" applyFont="1" applyFill="1" applyBorder="1" applyAlignment="1">
      <alignment horizontal="center" vertical="center" wrapText="1"/>
    </xf>
  </cellXfs>
  <cellStyles count="58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52" builtinId="3"/>
    <cellStyle name="Comma 2" xfId="29"/>
    <cellStyle name="Comma 3" xfId="54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46"/>
    <cellStyle name="Normal 3" xfId="1"/>
    <cellStyle name="Normal 3 2" xfId="49"/>
    <cellStyle name="Normal 4" xfId="48"/>
    <cellStyle name="Normal 5" xfId="47"/>
    <cellStyle name="Normal 6" xfId="53"/>
    <cellStyle name="Note 2" xfId="39"/>
    <cellStyle name="Note 3" xfId="55"/>
    <cellStyle name="Output 2" xfId="40"/>
    <cellStyle name="Percent" xfId="51" builtinId="5"/>
    <cellStyle name="Percent 10 2" xfId="42"/>
    <cellStyle name="Percent 10 2 2" xfId="50"/>
    <cellStyle name="Percent 10 2 3" xfId="57"/>
    <cellStyle name="Percent 2" xfId="41"/>
    <cellStyle name="Percent 3" xfId="56"/>
    <cellStyle name="Title 2" xfId="43"/>
    <cellStyle name="Total 2" xfId="44"/>
    <cellStyle name="Warning Text 2" xfId="45"/>
  </cellStyles>
  <dxfs count="0"/>
  <tableStyles count="0" defaultTableStyle="TableStyleMedium2" defaultPivotStyle="PivotStyleLight16"/>
  <colors>
    <mruColors>
      <color rgb="FF05EB2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Graphics!$A$2</c:f>
              <c:strCache>
                <c:ptCount val="1"/>
                <c:pt idx="0">
                  <c:v>April
Billing</c:v>
                </c:pt>
              </c:strCache>
            </c:strRef>
          </c:tx>
          <c:invertIfNegative val="0"/>
          <c:cat>
            <c:strRef>
              <c:f>Graphics!$C$1:$F$1</c:f>
              <c:strCache>
                <c:ptCount val="1"/>
                <c:pt idx="0">
                  <c:v>Billing vs. Receipts</c:v>
                </c:pt>
              </c:strCache>
            </c:strRef>
          </c:cat>
          <c:val>
            <c:numRef>
              <c:f>Graphics!$A$3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Graphics!$B$2</c:f>
              <c:strCache>
                <c:ptCount val="1"/>
                <c:pt idx="0">
                  <c:v>April
Receipts</c:v>
                </c:pt>
              </c:strCache>
            </c:strRef>
          </c:tx>
          <c:invertIfNegative val="0"/>
          <c:cat>
            <c:strRef>
              <c:f>Graphics!$C$1:$F$1</c:f>
              <c:strCache>
                <c:ptCount val="1"/>
                <c:pt idx="0">
                  <c:v>Billing vs. Receipts</c:v>
                </c:pt>
              </c:strCache>
            </c:strRef>
          </c:cat>
          <c:val>
            <c:numRef>
              <c:f>Graphics!$B$3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Graphics!$C$2</c:f>
              <c:strCache>
                <c:ptCount val="1"/>
                <c:pt idx="0">
                  <c:v>May
Billing</c:v>
                </c:pt>
              </c:strCache>
            </c:strRef>
          </c:tx>
          <c:invertIfNegative val="0"/>
          <c:val>
            <c:numRef>
              <c:f>Graphics!$C$3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Graphics!$D$2</c:f>
              <c:strCache>
                <c:ptCount val="1"/>
                <c:pt idx="0">
                  <c:v>May
Receipts</c:v>
                </c:pt>
              </c:strCache>
            </c:strRef>
          </c:tx>
          <c:invertIfNegative val="0"/>
          <c:val>
            <c:numRef>
              <c:f>Graphics!$D$3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Graphics!$E$2</c:f>
              <c:strCache>
                <c:ptCount val="1"/>
                <c:pt idx="0">
                  <c:v>June
Billing</c:v>
                </c:pt>
              </c:strCache>
            </c:strRef>
          </c:tx>
          <c:invertIfNegative val="0"/>
          <c:val>
            <c:numRef>
              <c:f>Graphics!$E$3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Graphics!$F$2</c:f>
              <c:strCache>
                <c:ptCount val="1"/>
                <c:pt idx="0">
                  <c:v>June
Receipts</c:v>
                </c:pt>
              </c:strCache>
            </c:strRef>
          </c:tx>
          <c:invertIfNegative val="0"/>
          <c:val>
            <c:numRef>
              <c:f>Graphics!$F$3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810112"/>
        <c:axId val="180811648"/>
      </c:barChart>
      <c:catAx>
        <c:axId val="180810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0811648"/>
        <c:crosses val="autoZero"/>
        <c:auto val="1"/>
        <c:lblAlgn val="ctr"/>
        <c:lblOffset val="100"/>
        <c:noMultiLvlLbl val="0"/>
      </c:catAx>
      <c:valAx>
        <c:axId val="18081164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80810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Budget Vs Expenditure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1.5873013393167511E-2"/>
                  <c:y val="-7.2417465388711397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84126674145939E-2"/>
                  <c:y val="-7.2417465388711397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Graphics!$B$11:$C$12</c:f>
              <c:multiLvlStrCache>
                <c:ptCount val="2"/>
                <c:lvl>
                  <c:pt idx="0">
                    <c:v>Adjutsment Budget 4th Quarter</c:v>
                  </c:pt>
                  <c:pt idx="1">
                    <c:v>Actual Expenditure 4th Quarter</c:v>
                  </c:pt>
                </c:lvl>
                <c:lvl>
                  <c:pt idx="0">
                    <c:v>Expenditure</c:v>
                  </c:pt>
                </c:lvl>
              </c:multiLvlStrCache>
            </c:multiLvlStrRef>
          </c:cat>
          <c:val>
            <c:numRef>
              <c:f>Graphics!$B$13:$C$13</c:f>
              <c:numCache>
                <c:formatCode>_ * #,##0_ ;_ * \-#,##0_ ;_ * "-"_ ;_ @_ </c:formatCode>
                <c:ptCount val="2"/>
                <c:pt idx="0">
                  <c:v>47454811</c:v>
                </c:pt>
                <c:pt idx="1">
                  <c:v>32424411.623981602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1379072"/>
        <c:axId val="181380608"/>
        <c:axId val="0"/>
      </c:bar3DChart>
      <c:catAx>
        <c:axId val="1813790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81380608"/>
        <c:crosses val="autoZero"/>
        <c:auto val="1"/>
        <c:lblAlgn val="ctr"/>
        <c:lblOffset val="100"/>
        <c:noMultiLvlLbl val="0"/>
      </c:catAx>
      <c:valAx>
        <c:axId val="181380608"/>
        <c:scaling>
          <c:orientation val="minMax"/>
        </c:scaling>
        <c:delete val="0"/>
        <c:axPos val="l"/>
        <c:majorGridlines/>
        <c:numFmt formatCode="_ * #,##0_ ;_ * \-#,##0_ ;_ * &quot;-&quot;_ ;_ @_ " sourceLinked="1"/>
        <c:majorTickMark val="none"/>
        <c:minorTickMark val="none"/>
        <c:tickLblPos val="nextTo"/>
        <c:crossAx val="181379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Budget</a:t>
            </a:r>
            <a:r>
              <a:rPr lang="en-ZA" baseline="0"/>
              <a:t> Vs Revenue Vs Receipts</a:t>
            </a:r>
            <a:endParaRPr lang="en-ZA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</c:spPr>
          </c:dPt>
          <c:cat>
            <c:strRef>
              <c:f>Graphics!$B$7:$D$7</c:f>
              <c:strCache>
                <c:ptCount val="3"/>
                <c:pt idx="0">
                  <c:v>Adjustment Budget Revenue 4th Quarter</c:v>
                </c:pt>
                <c:pt idx="1">
                  <c:v>Actual Revenue 4th Quarter</c:v>
                </c:pt>
                <c:pt idx="2">
                  <c:v>Actual Receipts 4th Quarter</c:v>
                </c:pt>
              </c:strCache>
            </c:strRef>
          </c:cat>
          <c:val>
            <c:numRef>
              <c:f>Graphics!$B$8:$D$8</c:f>
              <c:numCache>
                <c:formatCode>_ * #,##0_ ;_ * \-#,##0_ ;_ * "-"_ ;_ @_ </c:formatCode>
                <c:ptCount val="3"/>
                <c:pt idx="0">
                  <c:v>17168</c:v>
                </c:pt>
                <c:pt idx="1">
                  <c:v>13633</c:v>
                </c:pt>
                <c:pt idx="2" formatCode="_-* #,##0_-;\-* #,##0_-;_-* &quot;-&quot;??_-;_-@_-">
                  <c:v>12321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81802880"/>
        <c:axId val="181804416"/>
      </c:barChart>
      <c:catAx>
        <c:axId val="1818028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81804416"/>
        <c:crosses val="autoZero"/>
        <c:auto val="1"/>
        <c:lblAlgn val="ctr"/>
        <c:lblOffset val="100"/>
        <c:noMultiLvlLbl val="0"/>
      </c:catAx>
      <c:valAx>
        <c:axId val="181804416"/>
        <c:scaling>
          <c:orientation val="minMax"/>
        </c:scaling>
        <c:delete val="0"/>
        <c:axPos val="l"/>
        <c:majorGridlines/>
        <c:numFmt formatCode="_ * #,##0_ ;_ * \-#,##0_ ;_ * &quot;-&quot;_ ;_ @_ " sourceLinked="1"/>
        <c:majorTickMark val="none"/>
        <c:minorTickMark val="none"/>
        <c:tickLblPos val="nextTo"/>
        <c:spPr>
          <a:ln w="9525">
            <a:noFill/>
          </a:ln>
        </c:spPr>
        <c:crossAx val="181802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16</xdr:row>
      <xdr:rowOff>38100</xdr:rowOff>
    </xdr:from>
    <xdr:to>
      <xdr:col>4</xdr:col>
      <xdr:colOff>857250</xdr:colOff>
      <xdr:row>33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361949</xdr:colOff>
      <xdr:row>13</xdr:row>
      <xdr:rowOff>133349</xdr:rowOff>
    </xdr:from>
    <xdr:to>
      <xdr:col>10</xdr:col>
      <xdr:colOff>361950</xdr:colOff>
      <xdr:row>29</xdr:row>
      <xdr:rowOff>66674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638175</xdr:colOff>
      <xdr:row>1</xdr:row>
      <xdr:rowOff>238125</xdr:rowOff>
    </xdr:from>
    <xdr:to>
      <xdr:col>12</xdr:col>
      <xdr:colOff>466725</xdr:colOff>
      <xdr:row>12</xdr:row>
      <xdr:rowOff>180975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bi/Desktop/Mandla%2011-09-2013/C%20Schedule%20-%20Ver%202.4%20-AUGUST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C1-Sum"/>
      <sheetName val="C2-FinPerf SC"/>
      <sheetName val="C2C"/>
      <sheetName val="C3-FinPerf V"/>
      <sheetName val="C3C"/>
      <sheetName val="C4-FinPerf RE"/>
      <sheetName val="C5-Capex"/>
      <sheetName val="C5C"/>
      <sheetName val="C6-FinPos"/>
      <sheetName val="C7-CFlow"/>
      <sheetName val="SC1"/>
      <sheetName val="SC2"/>
      <sheetName val="SC3"/>
      <sheetName val="SC4"/>
      <sheetName val="SC5"/>
      <sheetName val="SC6"/>
      <sheetName val="SC7"/>
      <sheetName val="SC8"/>
      <sheetName val="SC9"/>
      <sheetName val="SC10"/>
      <sheetName val="SC11"/>
      <sheetName val="SC12"/>
      <sheetName val="SC13a"/>
      <sheetName val="SC13b"/>
      <sheetName val="SC13c"/>
      <sheetName val="SC13d"/>
      <sheetName val="SC71charts"/>
    </sheetNames>
    <sheetDataSet>
      <sheetData sheetId="0" refreshError="1"/>
      <sheetData sheetId="1" refreshError="1"/>
      <sheetData sheetId="2" refreshError="1">
        <row r="2">
          <cell r="B2" t="str">
            <v>2012/13</v>
          </cell>
        </row>
        <row r="3">
          <cell r="B3" t="str">
            <v>Budget Year 2013/14</v>
          </cell>
        </row>
        <row r="27">
          <cell r="B27" t="str">
            <v>Description</v>
          </cell>
        </row>
        <row r="61">
          <cell r="B61" t="str">
            <v>M02 August</v>
          </cell>
        </row>
        <row r="73">
          <cell r="B73" t="str">
            <v>FS195 Phumelela</v>
          </cell>
        </row>
        <row r="86">
          <cell r="B86" t="str">
            <v>Supporting Table SC3 Monthly Budget Statement - aged debtors</v>
          </cell>
        </row>
        <row r="87">
          <cell r="B87" t="str">
            <v xml:space="preserve">Supporting Table SC4 Monthly Budget Statement - aged creditors </v>
          </cell>
        </row>
        <row r="88">
          <cell r="B88" t="str">
            <v xml:space="preserve">Supporting Table SC5 Monthly Budget Statement - investment portfolio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L53"/>
  <sheetViews>
    <sheetView view="pageBreakPreview" zoomScale="6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RowHeight="15" x14ac:dyDescent="0.25"/>
  <cols>
    <col min="1" max="1" width="40.42578125" customWidth="1"/>
    <col min="2" max="2" width="7.140625" bestFit="1" customWidth="1"/>
    <col min="3" max="3" width="7.85546875" bestFit="1" customWidth="1"/>
    <col min="4" max="4" width="9.7109375" customWidth="1"/>
    <col min="5" max="5" width="7.85546875" customWidth="1"/>
    <col min="6" max="6" width="6.85546875" customWidth="1"/>
    <col min="7" max="7" width="8.5703125" customWidth="1"/>
    <col min="8" max="9" width="8.5703125" bestFit="1" customWidth="1"/>
    <col min="10" max="10" width="9" bestFit="1" customWidth="1"/>
    <col min="11" max="11" width="9.85546875" bestFit="1" customWidth="1"/>
    <col min="12" max="12" width="7" bestFit="1" customWidth="1"/>
  </cols>
  <sheetData>
    <row r="1" spans="1:12" x14ac:dyDescent="0.25">
      <c r="A1" s="80" t="s">
        <v>388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810" t="s">
        <v>0</v>
      </c>
      <c r="B2" s="44" t="s">
        <v>363</v>
      </c>
      <c r="C2" s="812" t="s">
        <v>362</v>
      </c>
      <c r="D2" s="813"/>
      <c r="E2" s="813"/>
      <c r="F2" s="813"/>
      <c r="G2" s="813"/>
      <c r="H2" s="813"/>
      <c r="I2" s="813"/>
      <c r="J2" s="813"/>
      <c r="K2" s="813"/>
      <c r="L2" s="814"/>
    </row>
    <row r="3" spans="1:12" ht="25.5" x14ac:dyDescent="0.25">
      <c r="A3" s="811"/>
      <c r="B3" s="45" t="s">
        <v>3</v>
      </c>
      <c r="C3" s="56" t="s">
        <v>4</v>
      </c>
      <c r="D3" s="515" t="s">
        <v>387</v>
      </c>
      <c r="E3" s="515" t="s">
        <v>389</v>
      </c>
      <c r="F3" s="38" t="s">
        <v>390</v>
      </c>
      <c r="G3" s="38" t="s">
        <v>391</v>
      </c>
      <c r="H3" s="38" t="s">
        <v>392</v>
      </c>
      <c r="I3" s="38" t="s">
        <v>393</v>
      </c>
      <c r="J3" s="38" t="s">
        <v>9</v>
      </c>
      <c r="K3" s="62" t="s">
        <v>9</v>
      </c>
      <c r="L3" s="46" t="s">
        <v>10</v>
      </c>
    </row>
    <row r="4" spans="1:12" x14ac:dyDescent="0.25">
      <c r="A4" s="49" t="s">
        <v>11</v>
      </c>
      <c r="B4" s="34"/>
      <c r="C4" s="726" t="s">
        <v>360</v>
      </c>
      <c r="D4" s="726" t="s">
        <v>360</v>
      </c>
      <c r="E4" s="726" t="s">
        <v>360</v>
      </c>
      <c r="F4" s="726" t="s">
        <v>360</v>
      </c>
      <c r="G4" s="726" t="s">
        <v>360</v>
      </c>
      <c r="H4" s="726" t="s">
        <v>360</v>
      </c>
      <c r="I4" s="726" t="s">
        <v>360</v>
      </c>
      <c r="J4" s="726" t="s">
        <v>360</v>
      </c>
      <c r="K4" s="78" t="s">
        <v>12</v>
      </c>
      <c r="L4" s="726" t="s">
        <v>360</v>
      </c>
    </row>
    <row r="5" spans="1:12" x14ac:dyDescent="0.25">
      <c r="A5" s="43" t="s">
        <v>57</v>
      </c>
      <c r="B5" s="47"/>
      <c r="C5" s="50"/>
      <c r="D5" s="516"/>
      <c r="E5" s="516"/>
      <c r="F5" s="51"/>
      <c r="G5" s="51"/>
      <c r="H5" s="51"/>
      <c r="I5" s="51"/>
      <c r="J5" s="51"/>
      <c r="K5" s="57"/>
      <c r="L5" s="52"/>
    </row>
    <row r="6" spans="1:12" x14ac:dyDescent="0.25">
      <c r="A6" s="40" t="s">
        <v>14</v>
      </c>
      <c r="B6" s="96">
        <v>0</v>
      </c>
      <c r="C6" s="675">
        <v>11992790</v>
      </c>
      <c r="D6" s="802"/>
      <c r="E6" s="517">
        <f>+'C4 Fin Perf'!G6</f>
        <v>632111</v>
      </c>
      <c r="F6" s="517">
        <f>+'C4 Fin Perf'!J6</f>
        <v>501877</v>
      </c>
      <c r="G6" s="517">
        <f>+'C4 Fin Perf'!M6</f>
        <v>505199</v>
      </c>
      <c r="H6" s="85">
        <f t="shared" ref="H6:H12" si="0">SUM(E6:G6)</f>
        <v>1639187</v>
      </c>
      <c r="I6" s="98">
        <v>1971391</v>
      </c>
      <c r="J6" s="85">
        <f>I6-H6</f>
        <v>332204</v>
      </c>
      <c r="K6" s="90">
        <f>J6/I6</f>
        <v>0.16851248686840917</v>
      </c>
      <c r="L6" s="95">
        <f>E6</f>
        <v>632111</v>
      </c>
    </row>
    <row r="7" spans="1:12" x14ac:dyDescent="0.25">
      <c r="A7" s="40" t="s">
        <v>58</v>
      </c>
      <c r="B7" s="96">
        <v>0</v>
      </c>
      <c r="C7" s="675">
        <v>30373821</v>
      </c>
      <c r="D7" s="802"/>
      <c r="E7" s="517">
        <f>+'C4 Fin Perf'!G8+'C4 Fin Perf'!G9+'C4 Fin Perf'!G10+'C4 Fin Perf'!G11+'C4 Fin Perf'!G12</f>
        <v>3043120</v>
      </c>
      <c r="F7" s="517">
        <f>+'C4 Fin Perf'!J8+'C4 Fin Perf'!J9+'C4 Fin Perf'!J10+'C4 Fin Perf'!J11+'C4 Fin Perf'!J12</f>
        <v>2836160</v>
      </c>
      <c r="G7" s="517">
        <f>+'C4 Fin Perf'!M8+'C4 Fin Perf'!M9+'C4 Fin Perf'!M10+'C4 Fin Perf'!M11+'C4 Fin Perf'!M12</f>
        <v>3145172</v>
      </c>
      <c r="H7" s="85">
        <f t="shared" si="0"/>
        <v>9024452</v>
      </c>
      <c r="I7" s="98">
        <v>8319341</v>
      </c>
      <c r="J7" s="85">
        <f>I7-H7</f>
        <v>-705111</v>
      </c>
      <c r="K7" s="63">
        <f>J7/I7</f>
        <v>-8.4755631485715036E-2</v>
      </c>
      <c r="L7" s="95">
        <f t="shared" ref="L7:L10" si="1">E7</f>
        <v>3043120</v>
      </c>
    </row>
    <row r="8" spans="1:12" x14ac:dyDescent="0.25">
      <c r="A8" s="40" t="s">
        <v>59</v>
      </c>
      <c r="B8" s="96">
        <v>0</v>
      </c>
      <c r="C8" s="675">
        <v>244216</v>
      </c>
      <c r="D8" s="802"/>
      <c r="E8" s="517">
        <f>+'C4 Fin Perf'!G14+'C4 Fin Perf'!G15</f>
        <v>766195</v>
      </c>
      <c r="F8" s="517">
        <f>+'C4 Fin Perf'!J14+'C4 Fin Perf'!J15</f>
        <v>796293</v>
      </c>
      <c r="G8" s="517">
        <f>+'C4 Fin Perf'!M14+'C4 Fin Perf'!M15</f>
        <v>351335</v>
      </c>
      <c r="H8" s="85">
        <f t="shared" si="0"/>
        <v>1913823</v>
      </c>
      <c r="I8" s="98">
        <v>279250</v>
      </c>
      <c r="J8" s="85">
        <f>I8-H8</f>
        <v>-1634573</v>
      </c>
      <c r="K8" s="63">
        <f>J8/I8</f>
        <v>-5.853439570277529</v>
      </c>
      <c r="L8" s="95">
        <f t="shared" si="1"/>
        <v>766195</v>
      </c>
    </row>
    <row r="9" spans="1:12" x14ac:dyDescent="0.25">
      <c r="A9" s="40" t="s">
        <v>29</v>
      </c>
      <c r="B9" s="96">
        <v>0</v>
      </c>
      <c r="C9" s="675">
        <v>62840000</v>
      </c>
      <c r="D9" s="802"/>
      <c r="E9" s="517">
        <f>+'C4 Fin Perf'!G20</f>
        <v>0</v>
      </c>
      <c r="F9" s="517">
        <f>+'C4 Fin Perf'!J20</f>
        <v>0</v>
      </c>
      <c r="G9" s="517">
        <f>+'C4 Fin Perf'!M20</f>
        <v>0</v>
      </c>
      <c r="H9" s="85">
        <f t="shared" si="0"/>
        <v>0</v>
      </c>
      <c r="I9" s="98">
        <v>15774700</v>
      </c>
      <c r="J9" s="85">
        <f>I9-H9</f>
        <v>15774700</v>
      </c>
      <c r="K9" s="63">
        <f>J9/I9</f>
        <v>1</v>
      </c>
      <c r="L9" s="95">
        <f t="shared" si="1"/>
        <v>0</v>
      </c>
    </row>
    <row r="10" spans="1:12" x14ac:dyDescent="0.25">
      <c r="A10" s="77" t="s">
        <v>60</v>
      </c>
      <c r="B10" s="99">
        <v>0</v>
      </c>
      <c r="C10" s="676">
        <v>20235653</v>
      </c>
      <c r="D10" s="803"/>
      <c r="E10" s="518">
        <f>+'C4 Fin Perf'!G13+'C4 Fin Perf'!G16+'C4 Fin Perf'!G17+'C4 Fin Perf'!G18+'C4 Fin Perf'!G19+'C4 Fin Perf'!G21</f>
        <v>916682</v>
      </c>
      <c r="F10" s="518">
        <f>+'C4 Fin Perf'!J13+'C4 Fin Perf'!J16+'C4 Fin Perf'!J17+'C4 Fin Perf'!J18+'C4 Fin Perf'!J19+'C4 Fin Perf'!J21</f>
        <v>78839</v>
      </c>
      <c r="G10" s="518">
        <f>+'C4 Fin Perf'!M13+'C4 Fin Perf'!M16+'C4 Fin Perf'!M17+'C4 Fin Perf'!M18+'C4 Fin Perf'!M19+'C4 Fin Perf'!M21</f>
        <v>60192.51</v>
      </c>
      <c r="H10" s="86">
        <f t="shared" si="0"/>
        <v>1055713.51</v>
      </c>
      <c r="I10" s="101">
        <v>1126750</v>
      </c>
      <c r="J10" s="85">
        <f>I10-H10</f>
        <v>71036.489999999991</v>
      </c>
      <c r="K10" s="64">
        <f>J10/I10</f>
        <v>6.3045475926336803E-2</v>
      </c>
      <c r="L10" s="95">
        <f t="shared" si="1"/>
        <v>916682</v>
      </c>
    </row>
    <row r="11" spans="1:12" ht="25.5" x14ac:dyDescent="0.25">
      <c r="A11" s="88" t="s">
        <v>32</v>
      </c>
      <c r="B11" s="634">
        <f>SUM(B6:B10)</f>
        <v>0</v>
      </c>
      <c r="C11" s="635">
        <f>SUM(C6:C10)</f>
        <v>125686480</v>
      </c>
      <c r="D11" s="635"/>
      <c r="E11" s="636">
        <f>SUM(E6:E10)</f>
        <v>5358108</v>
      </c>
      <c r="F11" s="636">
        <f>SUM(F6:F10)</f>
        <v>4213169</v>
      </c>
      <c r="G11" s="636">
        <f>SUM(G6:G10)</f>
        <v>4061898.51</v>
      </c>
      <c r="H11" s="636">
        <f t="shared" si="0"/>
        <v>13633175.51</v>
      </c>
      <c r="I11" s="636">
        <f>SUM(I6:I10)</f>
        <v>27471432</v>
      </c>
      <c r="J11" s="636">
        <f>SUM(J6:J10)</f>
        <v>13838256.49</v>
      </c>
      <c r="K11" s="637">
        <f>IF(J11=0,"",J11/I11)</f>
        <v>0.50373262267507568</v>
      </c>
      <c r="L11" s="636">
        <f>SUM(L6:L10)</f>
        <v>5358108</v>
      </c>
    </row>
    <row r="12" spans="1:12" x14ac:dyDescent="0.25">
      <c r="A12" s="40" t="s">
        <v>61</v>
      </c>
      <c r="B12" s="96">
        <v>0</v>
      </c>
      <c r="C12" s="677">
        <v>66871104.846571989</v>
      </c>
      <c r="D12" s="802"/>
      <c r="E12" s="517">
        <f>+'C4 Fin Perf'!G26</f>
        <v>3712016</v>
      </c>
      <c r="F12" s="517">
        <f>+'C4 Fin Perf'!J26</f>
        <v>4486265</v>
      </c>
      <c r="G12" s="517">
        <f>+'C4 Fin Perf'!M26</f>
        <v>4322729</v>
      </c>
      <c r="H12" s="85">
        <f t="shared" si="0"/>
        <v>12521010</v>
      </c>
      <c r="I12" s="98">
        <v>12882278.75</v>
      </c>
      <c r="J12" s="85">
        <f>I12-H12</f>
        <v>361268.75</v>
      </c>
      <c r="K12" s="63">
        <f>J12/I12</f>
        <v>2.8043854430645665E-2</v>
      </c>
      <c r="L12" s="95">
        <f t="shared" ref="L12:L18" si="2">E12</f>
        <v>3712016</v>
      </c>
    </row>
    <row r="13" spans="1:12" x14ac:dyDescent="0.25">
      <c r="A13" s="40" t="s">
        <v>62</v>
      </c>
      <c r="B13" s="96">
        <v>0</v>
      </c>
      <c r="C13" s="677">
        <v>4804729.9032120006</v>
      </c>
      <c r="D13" s="802"/>
      <c r="E13" s="517">
        <f>+'C4 Fin Perf'!G27</f>
        <v>456571</v>
      </c>
      <c r="F13" s="517">
        <f>+'C4 Fin Perf'!J27</f>
        <v>456620</v>
      </c>
      <c r="G13" s="517">
        <f>+'C4 Fin Perf'!M27</f>
        <v>456630</v>
      </c>
      <c r="H13" s="85">
        <f t="shared" ref="H13:H18" si="3">SUM(E13:G13)</f>
        <v>1369821</v>
      </c>
      <c r="I13" s="98">
        <v>1297469.5</v>
      </c>
      <c r="J13" s="85">
        <f t="shared" ref="J13:J18" si="4">I13-H13</f>
        <v>-72351.5</v>
      </c>
      <c r="K13" s="63">
        <f>J13/I13</f>
        <v>-5.5763545886820462E-2</v>
      </c>
      <c r="L13" s="95">
        <f t="shared" si="2"/>
        <v>456571</v>
      </c>
    </row>
    <row r="14" spans="1:12" x14ac:dyDescent="0.25">
      <c r="A14" s="87" t="s">
        <v>37</v>
      </c>
      <c r="B14" s="96">
        <v>0</v>
      </c>
      <c r="C14" s="677">
        <v>1983741.9520602559</v>
      </c>
      <c r="D14" s="802"/>
      <c r="E14" s="517">
        <f>+'C4 Fin Perf'!G29</f>
        <v>0</v>
      </c>
      <c r="F14" s="517">
        <f>+'C4 Fin Perf'!J29</f>
        <v>0</v>
      </c>
      <c r="G14" s="517">
        <f>+'C4 Fin Perf'!M29</f>
        <v>0</v>
      </c>
      <c r="H14" s="85">
        <f t="shared" si="3"/>
        <v>0</v>
      </c>
      <c r="I14" s="98">
        <v>0</v>
      </c>
      <c r="J14" s="85">
        <f t="shared" si="4"/>
        <v>0</v>
      </c>
      <c r="K14" s="63" t="s">
        <v>16</v>
      </c>
      <c r="L14" s="95">
        <f t="shared" si="2"/>
        <v>0</v>
      </c>
    </row>
    <row r="15" spans="1:12" x14ac:dyDescent="0.25">
      <c r="A15" s="40" t="s">
        <v>38</v>
      </c>
      <c r="B15" s="96">
        <v>0</v>
      </c>
      <c r="C15" s="677">
        <v>634347.0000000298</v>
      </c>
      <c r="D15" s="802"/>
      <c r="E15" s="517">
        <f>+'C4 Fin Perf'!G30</f>
        <v>0</v>
      </c>
      <c r="F15" s="517">
        <f>+'C4 Fin Perf'!J30</f>
        <v>0</v>
      </c>
      <c r="G15" s="517">
        <f>+'C4 Fin Perf'!M30</f>
        <v>0</v>
      </c>
      <c r="H15" s="85">
        <f t="shared" si="3"/>
        <v>0</v>
      </c>
      <c r="I15" s="98">
        <v>52000</v>
      </c>
      <c r="J15" s="85">
        <f t="shared" si="4"/>
        <v>52000</v>
      </c>
      <c r="K15" s="63">
        <f>J15/I15</f>
        <v>1</v>
      </c>
      <c r="L15" s="95">
        <f t="shared" si="2"/>
        <v>0</v>
      </c>
    </row>
    <row r="16" spans="1:12" x14ac:dyDescent="0.25">
      <c r="A16" s="40" t="s">
        <v>63</v>
      </c>
      <c r="B16" s="96">
        <v>0</v>
      </c>
      <c r="C16" s="677">
        <v>17124680</v>
      </c>
      <c r="D16" s="802"/>
      <c r="E16" s="517">
        <f>+'C4 Fin Perf'!G31+'C4 Fin Perf'!G32+'C4 Fin Perf'!G33</f>
        <v>5510573</v>
      </c>
      <c r="F16" s="517">
        <f>+'C4 Fin Perf'!J31+'C4 Fin Perf'!J32+'C4 Fin Perf'!J33</f>
        <v>2203760</v>
      </c>
      <c r="G16" s="517">
        <f>+'C4 Fin Perf'!M31+'C4 Fin Perf'!M32+'C4 Fin Perf'!M33</f>
        <v>8331697</v>
      </c>
      <c r="H16" s="85">
        <f t="shared" si="3"/>
        <v>16046030</v>
      </c>
      <c r="I16" s="98">
        <v>3904790.5</v>
      </c>
      <c r="J16" s="85">
        <f t="shared" si="4"/>
        <v>-12141239.5</v>
      </c>
      <c r="K16" s="90">
        <f>J16/I16</f>
        <v>-3.1093190530964465</v>
      </c>
      <c r="L16" s="95">
        <f t="shared" si="2"/>
        <v>5510573</v>
      </c>
    </row>
    <row r="17" spans="1:12" x14ac:dyDescent="0.25">
      <c r="A17" s="87" t="s">
        <v>42</v>
      </c>
      <c r="B17" s="96">
        <v>0</v>
      </c>
      <c r="C17" s="677">
        <v>0</v>
      </c>
      <c r="D17" s="802"/>
      <c r="E17" s="517">
        <f>+'C4 Fin Perf'!G34</f>
        <v>0</v>
      </c>
      <c r="F17" s="517">
        <f>+'C4 Fin Perf'!J34</f>
        <v>0</v>
      </c>
      <c r="G17" s="517">
        <f>+'C4 Fin Perf'!M34</f>
        <v>0</v>
      </c>
      <c r="H17" s="85">
        <f t="shared" si="3"/>
        <v>0</v>
      </c>
      <c r="I17" s="98">
        <v>0</v>
      </c>
      <c r="J17" s="85">
        <f t="shared" si="4"/>
        <v>0</v>
      </c>
      <c r="K17" s="63"/>
      <c r="L17" s="95">
        <f t="shared" si="2"/>
        <v>0</v>
      </c>
    </row>
    <row r="18" spans="1:12" x14ac:dyDescent="0.25">
      <c r="A18" s="40" t="s">
        <v>43</v>
      </c>
      <c r="B18" s="96">
        <v>0</v>
      </c>
      <c r="C18" s="677">
        <v>34216746.794082135</v>
      </c>
      <c r="D18" s="802"/>
      <c r="E18" s="517">
        <f>+'C4 Fin Perf'!G35</f>
        <v>5434596</v>
      </c>
      <c r="F18" s="517">
        <f>+'C4 Fin Perf'!J35</f>
        <v>4317849</v>
      </c>
      <c r="G18" s="517">
        <f>+'C4 Fin Perf'!M35</f>
        <v>7765505</v>
      </c>
      <c r="H18" s="85">
        <f t="shared" si="3"/>
        <v>17517950</v>
      </c>
      <c r="I18" s="98">
        <v>8643750</v>
      </c>
      <c r="J18" s="85">
        <f t="shared" si="4"/>
        <v>-8874200</v>
      </c>
      <c r="K18" s="63">
        <f>J18/I18</f>
        <v>-1.0266608821402747</v>
      </c>
      <c r="L18" s="95">
        <f t="shared" si="2"/>
        <v>5434596</v>
      </c>
    </row>
    <row r="19" spans="1:12" x14ac:dyDescent="0.25">
      <c r="A19" s="89" t="s">
        <v>45</v>
      </c>
      <c r="B19" s="638">
        <f t="shared" ref="B19:J19" si="5">SUM(B12:B18)</f>
        <v>0</v>
      </c>
      <c r="C19" s="639">
        <f t="shared" si="5"/>
        <v>125635350.49592641</v>
      </c>
      <c r="D19" s="639"/>
      <c r="E19" s="640">
        <f t="shared" si="5"/>
        <v>15113756</v>
      </c>
      <c r="F19" s="640">
        <f t="shared" si="5"/>
        <v>11464494</v>
      </c>
      <c r="G19" s="640">
        <f t="shared" si="5"/>
        <v>20876561</v>
      </c>
      <c r="H19" s="640">
        <f t="shared" si="5"/>
        <v>47454811</v>
      </c>
      <c r="I19" s="640">
        <f t="shared" si="5"/>
        <v>26780288.75</v>
      </c>
      <c r="J19" s="640">
        <f t="shared" si="5"/>
        <v>-20674522.25</v>
      </c>
      <c r="K19" s="641">
        <f>IF(J19=0,"",J19/I19)</f>
        <v>-0.77200520289386354</v>
      </c>
      <c r="L19" s="640">
        <f>SUM(L12:L18)</f>
        <v>15113756</v>
      </c>
    </row>
    <row r="20" spans="1:12" x14ac:dyDescent="0.25">
      <c r="A20" s="41" t="s">
        <v>46</v>
      </c>
      <c r="B20" s="642">
        <f t="shared" ref="B20:J20" si="6">+B11-B19</f>
        <v>0</v>
      </c>
      <c r="C20" s="643">
        <f t="shared" si="6"/>
        <v>51129.50407359004</v>
      </c>
      <c r="D20" s="643"/>
      <c r="E20" s="644">
        <f t="shared" si="6"/>
        <v>-9755648</v>
      </c>
      <c r="F20" s="644">
        <f t="shared" si="6"/>
        <v>-7251325</v>
      </c>
      <c r="G20" s="644">
        <f t="shared" si="6"/>
        <v>-16814662.490000002</v>
      </c>
      <c r="H20" s="644">
        <f t="shared" si="6"/>
        <v>-33821635.490000002</v>
      </c>
      <c r="I20" s="644">
        <f t="shared" si="6"/>
        <v>691143.25</v>
      </c>
      <c r="J20" s="644">
        <f t="shared" si="6"/>
        <v>34512778.740000002</v>
      </c>
      <c r="K20" s="645">
        <f>IF(J20=0,"",J20/I20)</f>
        <v>49.935782111740224</v>
      </c>
      <c r="L20" s="644">
        <f>+L11-L19</f>
        <v>-9755648</v>
      </c>
    </row>
    <row r="21" spans="1:12" x14ac:dyDescent="0.25">
      <c r="A21" s="40" t="s">
        <v>47</v>
      </c>
      <c r="B21" s="96">
        <v>0</v>
      </c>
      <c r="C21" s="97">
        <v>0</v>
      </c>
      <c r="D21" s="517"/>
      <c r="E21" s="517">
        <v>0</v>
      </c>
      <c r="F21" s="85">
        <v>0</v>
      </c>
      <c r="G21" s="85">
        <v>0</v>
      </c>
      <c r="H21" s="85">
        <v>0</v>
      </c>
      <c r="I21" s="98">
        <v>0</v>
      </c>
      <c r="J21" s="85">
        <v>0</v>
      </c>
      <c r="K21" s="63" t="s">
        <v>16</v>
      </c>
      <c r="L21" s="95">
        <v>0</v>
      </c>
    </row>
    <row r="22" spans="1:12" x14ac:dyDescent="0.25">
      <c r="A22" s="40" t="s">
        <v>64</v>
      </c>
      <c r="B22" s="99">
        <v>0</v>
      </c>
      <c r="C22" s="100">
        <v>0</v>
      </c>
      <c r="D22" s="518"/>
      <c r="E22" s="518">
        <v>0</v>
      </c>
      <c r="F22" s="86">
        <v>0</v>
      </c>
      <c r="G22" s="86">
        <v>0</v>
      </c>
      <c r="H22" s="86">
        <v>0</v>
      </c>
      <c r="I22" s="101">
        <v>0</v>
      </c>
      <c r="J22" s="86">
        <v>0</v>
      </c>
      <c r="K22" s="64" t="s">
        <v>16</v>
      </c>
      <c r="L22" s="102">
        <v>0</v>
      </c>
    </row>
    <row r="23" spans="1:12" x14ac:dyDescent="0.25">
      <c r="A23" s="81" t="s">
        <v>50</v>
      </c>
      <c r="B23" s="634">
        <f t="shared" ref="B23:L23" si="7">SUM(B20:B22)</f>
        <v>0</v>
      </c>
      <c r="C23" s="635">
        <f t="shared" si="7"/>
        <v>51129.50407359004</v>
      </c>
      <c r="D23" s="635"/>
      <c r="E23" s="636">
        <f t="shared" si="7"/>
        <v>-9755648</v>
      </c>
      <c r="F23" s="636">
        <f t="shared" si="7"/>
        <v>-7251325</v>
      </c>
      <c r="G23" s="636">
        <f t="shared" si="7"/>
        <v>-16814662.490000002</v>
      </c>
      <c r="H23" s="636">
        <f t="shared" si="7"/>
        <v>-33821635.490000002</v>
      </c>
      <c r="I23" s="636">
        <f t="shared" si="7"/>
        <v>691143.25</v>
      </c>
      <c r="J23" s="636">
        <f t="shared" si="7"/>
        <v>34512778.740000002</v>
      </c>
      <c r="K23" s="636">
        <f t="shared" si="7"/>
        <v>49.935782111740224</v>
      </c>
      <c r="L23" s="636">
        <f t="shared" si="7"/>
        <v>-9755648</v>
      </c>
    </row>
    <row r="24" spans="1:12" x14ac:dyDescent="0.25">
      <c r="A24" s="82" t="s">
        <v>55</v>
      </c>
      <c r="B24" s="96">
        <v>0</v>
      </c>
      <c r="C24" s="97">
        <v>0</v>
      </c>
      <c r="D24" s="517"/>
      <c r="E24" s="517">
        <v>0</v>
      </c>
      <c r="F24" s="85">
        <v>0</v>
      </c>
      <c r="G24" s="85">
        <v>0</v>
      </c>
      <c r="H24" s="85">
        <v>0</v>
      </c>
      <c r="I24" s="98">
        <v>0</v>
      </c>
      <c r="J24" s="85">
        <v>0</v>
      </c>
      <c r="K24" s="63" t="s">
        <v>16</v>
      </c>
      <c r="L24" s="95">
        <v>0</v>
      </c>
    </row>
    <row r="25" spans="1:12" x14ac:dyDescent="0.25">
      <c r="A25" s="81" t="s">
        <v>56</v>
      </c>
      <c r="B25" s="646">
        <f t="shared" ref="B25:L25" si="8">SUM(B23:B24)</f>
        <v>0</v>
      </c>
      <c r="C25" s="647">
        <f t="shared" si="8"/>
        <v>51129.50407359004</v>
      </c>
      <c r="D25" s="643"/>
      <c r="E25" s="644">
        <f t="shared" si="8"/>
        <v>-9755648</v>
      </c>
      <c r="F25" s="644">
        <f t="shared" si="8"/>
        <v>-7251325</v>
      </c>
      <c r="G25" s="644">
        <f t="shared" si="8"/>
        <v>-16814662.490000002</v>
      </c>
      <c r="H25" s="644">
        <f t="shared" si="8"/>
        <v>-33821635.490000002</v>
      </c>
      <c r="I25" s="644">
        <f t="shared" si="8"/>
        <v>691143.25</v>
      </c>
      <c r="J25" s="644">
        <f t="shared" si="8"/>
        <v>34512778.740000002</v>
      </c>
      <c r="K25" s="644">
        <f t="shared" si="8"/>
        <v>49.935782111740224</v>
      </c>
      <c r="L25" s="644">
        <f t="shared" si="8"/>
        <v>-9755648</v>
      </c>
    </row>
    <row r="26" spans="1:12" x14ac:dyDescent="0.25">
      <c r="A26" s="42"/>
      <c r="B26" s="65"/>
      <c r="C26" s="66"/>
      <c r="D26" s="521"/>
      <c r="E26" s="521"/>
      <c r="F26" s="37"/>
      <c r="G26" s="37"/>
      <c r="H26" s="37"/>
      <c r="I26" s="37"/>
      <c r="J26" s="37"/>
      <c r="K26" s="67"/>
      <c r="L26" s="68"/>
    </row>
    <row r="27" spans="1:12" x14ac:dyDescent="0.25">
      <c r="A27" s="39" t="s">
        <v>65</v>
      </c>
      <c r="B27" s="69"/>
      <c r="C27" s="70"/>
      <c r="D27" s="522"/>
      <c r="E27" s="522"/>
      <c r="F27" s="36"/>
      <c r="G27" s="36"/>
      <c r="H27" s="36"/>
      <c r="I27" s="36"/>
      <c r="J27" s="36"/>
      <c r="K27" s="71"/>
      <c r="L27" s="72"/>
    </row>
    <row r="28" spans="1:12" x14ac:dyDescent="0.25">
      <c r="A28" s="41" t="s">
        <v>66</v>
      </c>
      <c r="B28" s="638">
        <v>0</v>
      </c>
      <c r="C28" s="648">
        <f>SUM(C29:C32)</f>
        <v>47529977</v>
      </c>
      <c r="D28" s="639"/>
      <c r="E28" s="639">
        <f>+'C5 - CAPEX'!F42</f>
        <v>2829572</v>
      </c>
      <c r="F28" s="640">
        <f>+'C5 - CAPEX'!G42</f>
        <v>8275353</v>
      </c>
      <c r="G28" s="640">
        <f>+'C5 - CAPEX'!H42</f>
        <v>24099751</v>
      </c>
      <c r="H28" s="640">
        <f>SUM(E28:G28)</f>
        <v>35204676</v>
      </c>
      <c r="I28" s="649">
        <v>11791000.000000002</v>
      </c>
      <c r="J28" s="640">
        <v>90687.999999998137</v>
      </c>
      <c r="K28" s="650">
        <v>7.6912899669237655E-3</v>
      </c>
      <c r="L28" s="651">
        <v>35645064</v>
      </c>
    </row>
    <row r="29" spans="1:12" x14ac:dyDescent="0.25">
      <c r="A29" s="40" t="s">
        <v>67</v>
      </c>
      <c r="B29" s="96">
        <v>0</v>
      </c>
      <c r="C29" s="678">
        <v>47529977</v>
      </c>
      <c r="D29" s="802"/>
      <c r="E29" s="517">
        <f>+'C5 - CAPEX'!F49</f>
        <v>2829572</v>
      </c>
      <c r="F29" s="517">
        <f>+'C5 - CAPEX'!G49</f>
        <v>8275353</v>
      </c>
      <c r="G29" s="517">
        <f>+'C5 - CAPEX'!H49</f>
        <v>24099751</v>
      </c>
      <c r="H29" s="85">
        <f>SUM(E29:G29)</f>
        <v>35204676</v>
      </c>
      <c r="I29" s="98">
        <v>7546166.666666667</v>
      </c>
      <c r="J29" s="85">
        <f>I29-H29</f>
        <v>-27658509.333333332</v>
      </c>
      <c r="K29" s="90">
        <f>J29/I29</f>
        <v>-3.6652396581045559</v>
      </c>
      <c r="L29" s="95">
        <f>E29</f>
        <v>2829572</v>
      </c>
    </row>
    <row r="30" spans="1:12" x14ac:dyDescent="0.25">
      <c r="A30" s="40" t="s">
        <v>68</v>
      </c>
      <c r="B30" s="96">
        <v>0</v>
      </c>
      <c r="C30" s="97">
        <v>0</v>
      </c>
      <c r="D30" s="517"/>
      <c r="E30" s="517">
        <f>+'C5 - CAPEX'!F50</f>
        <v>0</v>
      </c>
      <c r="F30" s="517">
        <f>+'C5 - CAPEX'!G50</f>
        <v>0</v>
      </c>
      <c r="G30" s="517">
        <f>+'C5 - CAPEX'!H50</f>
        <v>0</v>
      </c>
      <c r="H30" s="85">
        <f>SUM(E30:G30)</f>
        <v>0</v>
      </c>
      <c r="I30" s="98">
        <v>0</v>
      </c>
      <c r="J30" s="85">
        <v>0</v>
      </c>
      <c r="K30" s="63" t="s">
        <v>16</v>
      </c>
      <c r="L30" s="95">
        <v>0</v>
      </c>
    </row>
    <row r="31" spans="1:12" x14ac:dyDescent="0.25">
      <c r="A31" s="40" t="s">
        <v>69</v>
      </c>
      <c r="B31" s="96">
        <v>0</v>
      </c>
      <c r="C31" s="97">
        <v>0</v>
      </c>
      <c r="D31" s="517"/>
      <c r="E31" s="517">
        <f>+'C5 - CAPEX'!F51</f>
        <v>0</v>
      </c>
      <c r="F31" s="517">
        <f>+'C5 - CAPEX'!G51</f>
        <v>0</v>
      </c>
      <c r="G31" s="517">
        <f>+'C5 - CAPEX'!H51</f>
        <v>0</v>
      </c>
      <c r="H31" s="85">
        <f>SUM(E31:G31)</f>
        <v>0</v>
      </c>
      <c r="I31" s="98">
        <v>0</v>
      </c>
      <c r="J31" s="85">
        <v>0</v>
      </c>
      <c r="K31" s="63" t="s">
        <v>16</v>
      </c>
      <c r="L31" s="95">
        <v>0</v>
      </c>
    </row>
    <row r="32" spans="1:12" x14ac:dyDescent="0.25">
      <c r="A32" s="40" t="s">
        <v>70</v>
      </c>
      <c r="B32" s="103">
        <v>0</v>
      </c>
      <c r="C32" s="104">
        <v>0</v>
      </c>
      <c r="D32" s="519"/>
      <c r="E32" s="519">
        <f>+'C5 - CAPEX'!F52</f>
        <v>0</v>
      </c>
      <c r="F32" s="519">
        <f>+'C5 - CAPEX'!G52</f>
        <v>0</v>
      </c>
      <c r="G32" s="519">
        <f>+'C5 - CAPEX'!H52</f>
        <v>0</v>
      </c>
      <c r="H32" s="85">
        <f>SUM(E32:G32)</f>
        <v>0</v>
      </c>
      <c r="I32" s="106">
        <v>450000</v>
      </c>
      <c r="J32" s="105">
        <f>I32-H32</f>
        <v>450000</v>
      </c>
      <c r="K32" s="84">
        <f>J32/I32</f>
        <v>1</v>
      </c>
      <c r="L32" s="107">
        <v>0</v>
      </c>
    </row>
    <row r="33" spans="1:12" x14ac:dyDescent="0.25">
      <c r="A33" s="89" t="s">
        <v>71</v>
      </c>
      <c r="B33" s="652">
        <v>0</v>
      </c>
      <c r="C33" s="653">
        <f t="shared" ref="C33:I33" si="9">SUM(C29:C32)</f>
        <v>47529977</v>
      </c>
      <c r="D33" s="804"/>
      <c r="E33" s="654">
        <f t="shared" si="9"/>
        <v>2829572</v>
      </c>
      <c r="F33" s="654">
        <f t="shared" si="9"/>
        <v>8275353</v>
      </c>
      <c r="G33" s="654">
        <f t="shared" si="9"/>
        <v>24099751</v>
      </c>
      <c r="H33" s="654">
        <f t="shared" si="9"/>
        <v>35204676</v>
      </c>
      <c r="I33" s="655">
        <f t="shared" si="9"/>
        <v>7996166.666666667</v>
      </c>
      <c r="J33" s="656">
        <f>H33-I33</f>
        <v>27208509.333333332</v>
      </c>
      <c r="K33" s="657">
        <f>IF(J33=0,"",J33/I33)</f>
        <v>3.4026941242678781</v>
      </c>
      <c r="L33" s="658">
        <f>SUM(L29:L32)</f>
        <v>2829572</v>
      </c>
    </row>
    <row r="34" spans="1:12" x14ac:dyDescent="0.25">
      <c r="A34" s="83"/>
      <c r="B34" s="65"/>
      <c r="C34" s="66"/>
      <c r="D34" s="521"/>
      <c r="E34" s="521"/>
      <c r="F34" s="37"/>
      <c r="G34" s="37"/>
      <c r="H34" s="37"/>
      <c r="I34" s="37"/>
      <c r="J34" s="37"/>
      <c r="K34" s="67"/>
      <c r="L34" s="68"/>
    </row>
    <row r="35" spans="1:12" x14ac:dyDescent="0.25">
      <c r="A35" s="43" t="s">
        <v>72</v>
      </c>
      <c r="B35" s="54"/>
      <c r="C35" s="53"/>
      <c r="D35" s="523"/>
      <c r="E35" s="523"/>
      <c r="F35" s="525"/>
      <c r="G35" s="525"/>
      <c r="H35" s="35"/>
      <c r="I35" s="73"/>
      <c r="J35" s="73"/>
      <c r="K35" s="75"/>
      <c r="L35" s="58"/>
    </row>
    <row r="36" spans="1:12" x14ac:dyDescent="0.25">
      <c r="A36" s="40" t="s">
        <v>73</v>
      </c>
      <c r="B36" s="96">
        <v>0</v>
      </c>
      <c r="C36" s="679">
        <v>-7304972.1025464945</v>
      </c>
      <c r="D36" s="802"/>
      <c r="E36" s="517">
        <v>0</v>
      </c>
      <c r="F36" s="525">
        <v>0</v>
      </c>
      <c r="G36" s="525">
        <v>0</v>
      </c>
      <c r="H36" s="85">
        <f>+'C6 - FIN POS'!F13</f>
        <v>202992694</v>
      </c>
      <c r="I36" s="73"/>
      <c r="J36" s="73"/>
      <c r="K36" s="75"/>
      <c r="L36" s="95">
        <v>0</v>
      </c>
    </row>
    <row r="37" spans="1:12" x14ac:dyDescent="0.25">
      <c r="A37" s="40" t="s">
        <v>74</v>
      </c>
      <c r="B37" s="96">
        <v>0</v>
      </c>
      <c r="C37" s="679">
        <v>662105379.04999995</v>
      </c>
      <c r="D37" s="802"/>
      <c r="E37" s="517">
        <v>0</v>
      </c>
      <c r="F37" s="525">
        <v>0</v>
      </c>
      <c r="G37" s="525">
        <v>0</v>
      </c>
      <c r="H37" s="85">
        <f>+'C6 - FIN POS'!F25</f>
        <v>709546692</v>
      </c>
      <c r="I37" s="73"/>
      <c r="J37" s="73"/>
      <c r="K37" s="75"/>
      <c r="L37" s="95">
        <v>0</v>
      </c>
    </row>
    <row r="38" spans="1:12" x14ac:dyDescent="0.25">
      <c r="A38" s="40" t="s">
        <v>75</v>
      </c>
      <c r="B38" s="96">
        <v>0</v>
      </c>
      <c r="C38" s="679">
        <v>943608.21000000008</v>
      </c>
      <c r="D38" s="802"/>
      <c r="E38" s="517">
        <v>0</v>
      </c>
      <c r="F38" s="525">
        <v>0</v>
      </c>
      <c r="G38" s="525">
        <v>0</v>
      </c>
      <c r="H38" s="85">
        <f>+'C6 - FIN POS'!F35</f>
        <v>419454457</v>
      </c>
      <c r="I38" s="73"/>
      <c r="J38" s="73"/>
      <c r="K38" s="75"/>
      <c r="L38" s="95">
        <v>0</v>
      </c>
    </row>
    <row r="39" spans="1:12" x14ac:dyDescent="0.25">
      <c r="A39" s="40" t="s">
        <v>76</v>
      </c>
      <c r="B39" s="96">
        <v>0</v>
      </c>
      <c r="C39" s="679">
        <v>31816215</v>
      </c>
      <c r="D39" s="802"/>
      <c r="E39" s="517">
        <v>0</v>
      </c>
      <c r="F39" s="525">
        <v>0</v>
      </c>
      <c r="G39" s="525">
        <v>0</v>
      </c>
      <c r="H39" s="85">
        <f>+'C6 - FIN POS'!F40</f>
        <v>63530952</v>
      </c>
      <c r="I39" s="73"/>
      <c r="J39" s="73"/>
      <c r="K39" s="75"/>
      <c r="L39" s="95">
        <v>0</v>
      </c>
    </row>
    <row r="40" spans="1:12" x14ac:dyDescent="0.25">
      <c r="A40" s="89" t="s">
        <v>77</v>
      </c>
      <c r="B40" s="108">
        <v>0</v>
      </c>
      <c r="C40" s="109">
        <f>+C36+C37-C38-C39</f>
        <v>622040583.73745346</v>
      </c>
      <c r="D40" s="520"/>
      <c r="E40" s="520">
        <v>0</v>
      </c>
      <c r="F40" s="526">
        <v>0</v>
      </c>
      <c r="G40" s="526">
        <v>0</v>
      </c>
      <c r="H40" s="93">
        <f>+H36+H37-H38-H39</f>
        <v>429553977</v>
      </c>
      <c r="I40" s="91"/>
      <c r="J40" s="91"/>
      <c r="K40" s="92"/>
      <c r="L40" s="94">
        <v>0</v>
      </c>
    </row>
    <row r="41" spans="1:12" x14ac:dyDescent="0.25">
      <c r="A41" s="42"/>
      <c r="B41" s="65"/>
      <c r="C41" s="66"/>
      <c r="D41" s="521"/>
      <c r="E41" s="521"/>
      <c r="F41" s="527"/>
      <c r="G41" s="527"/>
      <c r="H41" s="37"/>
      <c r="I41" s="74"/>
      <c r="J41" s="74"/>
      <c r="K41" s="76"/>
      <c r="L41" s="68"/>
    </row>
    <row r="42" spans="1:12" x14ac:dyDescent="0.25">
      <c r="A42" s="39" t="s">
        <v>78</v>
      </c>
      <c r="B42" s="69"/>
      <c r="C42" s="70"/>
      <c r="D42" s="522"/>
      <c r="E42" s="522"/>
      <c r="F42" s="36"/>
      <c r="G42" s="36"/>
      <c r="H42" s="36"/>
      <c r="I42" s="36"/>
      <c r="J42" s="36"/>
      <c r="K42" s="71"/>
      <c r="L42" s="72"/>
    </row>
    <row r="43" spans="1:12" x14ac:dyDescent="0.25">
      <c r="A43" s="40" t="s">
        <v>79</v>
      </c>
      <c r="B43" s="96">
        <v>0</v>
      </c>
      <c r="C43" s="680">
        <v>26647284.797453508</v>
      </c>
      <c r="D43" s="802"/>
      <c r="E43" s="517">
        <f>+'C7 - CASHFLOW'!E18</f>
        <v>-4436152.1399999997</v>
      </c>
      <c r="F43" s="517">
        <f>+'C7 - CASHFLOW'!F18</f>
        <v>11148233.770000001</v>
      </c>
      <c r="G43" s="517">
        <f>+'C7 - CASHFLOW'!G18</f>
        <v>-8381626.21</v>
      </c>
      <c r="H43" s="85">
        <f>+'C7 - CASHFLOW'!H18</f>
        <v>-1669544.5799999991</v>
      </c>
      <c r="I43" s="98">
        <v>10519216.666666664</v>
      </c>
      <c r="J43" s="85">
        <f>H43-I43</f>
        <v>-12188761.246666662</v>
      </c>
      <c r="K43" s="63">
        <f>J43/I43</f>
        <v>-1.1587137743146272</v>
      </c>
      <c r="L43" s="95">
        <f t="shared" ref="L43:L44" si="10">E43</f>
        <v>-4436152.1399999997</v>
      </c>
    </row>
    <row r="44" spans="1:12" x14ac:dyDescent="0.25">
      <c r="A44" s="40" t="s">
        <v>80</v>
      </c>
      <c r="B44" s="96">
        <v>0</v>
      </c>
      <c r="C44" s="680">
        <v>-47529977.740000002</v>
      </c>
      <c r="D44" s="802"/>
      <c r="E44" s="517">
        <f>+'C7 - CASHFLOW'!E28</f>
        <v>-2829571.75</v>
      </c>
      <c r="F44" s="517">
        <f>+'C7 - CASHFLOW'!F28</f>
        <v>-8275352.8399999999</v>
      </c>
      <c r="G44" s="517">
        <f>+'C7 - CASHFLOW'!G28</f>
        <v>-24099751</v>
      </c>
      <c r="H44" s="85">
        <f>+'C7 - CASHFLOW'!H28</f>
        <v>-35204675.590000004</v>
      </c>
      <c r="I44" s="98">
        <v>-11791000</v>
      </c>
      <c r="J44" s="85">
        <f>H44-I44</f>
        <v>-23413675.590000004</v>
      </c>
      <c r="K44" s="63">
        <f>J44/I44</f>
        <v>1.9857243312696127</v>
      </c>
      <c r="L44" s="95">
        <f t="shared" si="10"/>
        <v>-2829571.75</v>
      </c>
    </row>
    <row r="45" spans="1:12" x14ac:dyDescent="0.25">
      <c r="A45" s="40" t="s">
        <v>81</v>
      </c>
      <c r="B45" s="96">
        <v>0</v>
      </c>
      <c r="C45" s="680">
        <v>-920142.94</v>
      </c>
      <c r="D45" s="802"/>
      <c r="E45" s="517">
        <f>+'C7 - CASHFLOW'!E37</f>
        <v>0</v>
      </c>
      <c r="F45" s="517">
        <f>+'C7 - CASHFLOW'!F37</f>
        <v>0</v>
      </c>
      <c r="G45" s="517">
        <f>+'C7 - CASHFLOW'!G37</f>
        <v>0</v>
      </c>
      <c r="H45" s="85">
        <f>+'C7 - CASHFLOW'!H37</f>
        <v>0</v>
      </c>
      <c r="I45" s="98">
        <v>0</v>
      </c>
      <c r="J45" s="85">
        <v>0</v>
      </c>
      <c r="K45" s="63" t="s">
        <v>16</v>
      </c>
      <c r="L45" s="95">
        <f>H45*12/9</f>
        <v>0</v>
      </c>
    </row>
    <row r="46" spans="1:12" x14ac:dyDescent="0.25">
      <c r="A46" s="41" t="s">
        <v>82</v>
      </c>
      <c r="B46" s="642">
        <v>0</v>
      </c>
      <c r="C46" s="647">
        <f>SUM(C43:C45)</f>
        <v>-21802835.882546496</v>
      </c>
      <c r="D46" s="647"/>
      <c r="E46" s="647">
        <f>SUM(E43:E45)</f>
        <v>-7265723.8899999997</v>
      </c>
      <c r="F46" s="647">
        <f>SUM(F43:F45)</f>
        <v>2872880.9300000016</v>
      </c>
      <c r="G46" s="647">
        <f>SUM(G43:G45)</f>
        <v>-32481377.210000001</v>
      </c>
      <c r="H46" s="647">
        <f>+'C7 - CASHFLOW'!H40+'C7 - CASHFLOW'!H39</f>
        <v>-57668497.340000004</v>
      </c>
      <c r="I46" s="646">
        <v>328535.75666665286</v>
      </c>
      <c r="J46" s="644">
        <v>14002180.243333347</v>
      </c>
      <c r="K46" s="663">
        <v>42.619958282168319</v>
      </c>
      <c r="L46" s="664">
        <v>14212741</v>
      </c>
    </row>
    <row r="47" spans="1:12" x14ac:dyDescent="0.25">
      <c r="A47" s="48"/>
      <c r="B47" s="65"/>
      <c r="C47" s="66"/>
      <c r="D47" s="521"/>
      <c r="E47" s="521"/>
      <c r="F47" s="37"/>
      <c r="G47" s="37"/>
      <c r="H47" s="37"/>
      <c r="I47" s="37"/>
      <c r="J47" s="37"/>
      <c r="K47" s="67"/>
      <c r="L47" s="68"/>
    </row>
    <row r="48" spans="1:12" ht="25.5" x14ac:dyDescent="0.25">
      <c r="A48" s="536" t="s">
        <v>83</v>
      </c>
      <c r="B48" s="659"/>
      <c r="C48" s="660"/>
      <c r="D48" s="805"/>
      <c r="E48" s="659" t="s">
        <v>84</v>
      </c>
      <c r="F48" s="660" t="s">
        <v>85</v>
      </c>
      <c r="G48" s="661" t="s">
        <v>86</v>
      </c>
      <c r="H48" s="661" t="s">
        <v>87</v>
      </c>
      <c r="I48" s="661" t="s">
        <v>88</v>
      </c>
      <c r="J48" s="661" t="s">
        <v>89</v>
      </c>
      <c r="K48" s="661" t="s">
        <v>352</v>
      </c>
      <c r="L48" s="662" t="s">
        <v>92</v>
      </c>
    </row>
    <row r="49" spans="1:12" x14ac:dyDescent="0.25">
      <c r="A49" s="79" t="s">
        <v>93</v>
      </c>
      <c r="B49" s="54"/>
      <c r="C49" s="53"/>
      <c r="D49" s="523"/>
      <c r="E49" s="523"/>
      <c r="F49" s="35"/>
      <c r="G49" s="35"/>
      <c r="H49" s="35"/>
      <c r="I49" s="35"/>
      <c r="J49" s="35"/>
      <c r="K49" s="63"/>
      <c r="L49" s="58"/>
    </row>
    <row r="50" spans="1:12" x14ac:dyDescent="0.25">
      <c r="A50" s="47" t="s">
        <v>94</v>
      </c>
      <c r="B50" s="96"/>
      <c r="C50" s="682">
        <v>3475525.16</v>
      </c>
      <c r="D50" s="802"/>
      <c r="E50" s="517">
        <v>-287719.87000000005</v>
      </c>
      <c r="F50" s="85">
        <v>2588632.9</v>
      </c>
      <c r="G50" s="85">
        <v>1879400.01</v>
      </c>
      <c r="H50" s="85">
        <v>5293563.1900000004</v>
      </c>
      <c r="I50" s="98">
        <v>1648598.5799999998</v>
      </c>
      <c r="J50" s="85">
        <f>H50-I50</f>
        <v>3644964.6100000003</v>
      </c>
      <c r="K50" s="85">
        <f>J50/I50</f>
        <v>2.2109473186614057</v>
      </c>
      <c r="L50" s="95">
        <f t="shared" ref="L50:L52" si="11">E50</f>
        <v>-287719.87000000005</v>
      </c>
    </row>
    <row r="51" spans="1:12" x14ac:dyDescent="0.25">
      <c r="A51" s="79" t="s">
        <v>95</v>
      </c>
      <c r="B51" s="54"/>
      <c r="C51" s="681"/>
      <c r="D51" s="806"/>
      <c r="E51" s="523"/>
      <c r="F51" s="35"/>
      <c r="G51" s="35"/>
      <c r="H51" s="35"/>
      <c r="I51" s="35"/>
      <c r="J51" s="35"/>
      <c r="K51" s="63"/>
      <c r="L51" s="58">
        <f t="shared" si="11"/>
        <v>0</v>
      </c>
    </row>
    <row r="52" spans="1:12" x14ac:dyDescent="0.25">
      <c r="A52" s="47" t="s">
        <v>96</v>
      </c>
      <c r="B52" s="96"/>
      <c r="C52" s="682">
        <v>669189</v>
      </c>
      <c r="D52" s="802"/>
      <c r="E52" s="517">
        <v>1899959</v>
      </c>
      <c r="F52" s="85">
        <v>4666107</v>
      </c>
      <c r="G52" s="85">
        <v>2821020</v>
      </c>
      <c r="H52" s="85">
        <v>2345286</v>
      </c>
      <c r="I52" s="98">
        <v>0</v>
      </c>
      <c r="J52" s="85">
        <f>H52-I52</f>
        <v>2345286</v>
      </c>
      <c r="K52" s="85">
        <v>0</v>
      </c>
      <c r="L52" s="95">
        <f t="shared" si="11"/>
        <v>1899959</v>
      </c>
    </row>
    <row r="53" spans="1:12" x14ac:dyDescent="0.25">
      <c r="A53" s="48"/>
      <c r="B53" s="55"/>
      <c r="C53" s="59"/>
      <c r="D53" s="524"/>
      <c r="E53" s="524"/>
      <c r="F53" s="60"/>
      <c r="G53" s="60"/>
      <c r="H53" s="60"/>
      <c r="I53" s="60"/>
      <c r="J53" s="60"/>
      <c r="K53" s="67"/>
      <c r="L53" s="61"/>
    </row>
  </sheetData>
  <mergeCells count="2">
    <mergeCell ref="A2:A3"/>
    <mergeCell ref="C2:L2"/>
  </mergeCells>
  <pageMargins left="0.7" right="0.7" top="0.75" bottom="0.75" header="0.3" footer="0.3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O19"/>
  <sheetViews>
    <sheetView workbookViewId="0">
      <selection activeCell="K6" sqref="K6"/>
    </sheetView>
  </sheetViews>
  <sheetFormatPr defaultRowHeight="15" x14ac:dyDescent="0.25"/>
  <cols>
    <col min="1" max="1" width="29.140625" bestFit="1" customWidth="1"/>
    <col min="6" max="6" width="7.7109375" bestFit="1" customWidth="1"/>
    <col min="11" max="11" width="12.140625" customWidth="1"/>
    <col min="15" max="15" width="10.42578125" bestFit="1" customWidth="1"/>
  </cols>
  <sheetData>
    <row r="1" spans="1:15" x14ac:dyDescent="0.25">
      <c r="A1" s="836" t="s">
        <v>415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</row>
    <row r="2" spans="1:15" x14ac:dyDescent="0.25">
      <c r="A2" s="848" t="str">
        <f>desc</f>
        <v>Description</v>
      </c>
      <c r="B2" s="850" t="s">
        <v>304</v>
      </c>
      <c r="C2" s="456" t="str">
        <f>Head2</f>
        <v>Budget Year 2013/14</v>
      </c>
      <c r="D2" s="456"/>
      <c r="E2" s="456"/>
      <c r="F2" s="456"/>
      <c r="G2" s="456" t="s">
        <v>362</v>
      </c>
      <c r="H2" s="456"/>
      <c r="I2" s="456"/>
      <c r="J2" s="456"/>
      <c r="K2" s="457"/>
      <c r="L2" s="841" t="s">
        <v>386</v>
      </c>
    </row>
    <row r="3" spans="1:15" x14ac:dyDescent="0.25">
      <c r="A3" s="849"/>
      <c r="B3" s="851"/>
      <c r="C3" s="852" t="s">
        <v>305</v>
      </c>
      <c r="D3" s="854" t="s">
        <v>306</v>
      </c>
      <c r="E3" s="854" t="s">
        <v>307</v>
      </c>
      <c r="F3" s="854" t="s">
        <v>308</v>
      </c>
      <c r="G3" s="854" t="s">
        <v>309</v>
      </c>
      <c r="H3" s="854" t="s">
        <v>310</v>
      </c>
      <c r="I3" s="854" t="s">
        <v>311</v>
      </c>
      <c r="J3" s="844" t="s">
        <v>312</v>
      </c>
      <c r="K3" s="846" t="s">
        <v>313</v>
      </c>
      <c r="L3" s="842"/>
    </row>
    <row r="4" spans="1:15" x14ac:dyDescent="0.25">
      <c r="A4" s="458" t="s">
        <v>11</v>
      </c>
      <c r="B4" s="847"/>
      <c r="C4" s="853"/>
      <c r="D4" s="855"/>
      <c r="E4" s="855"/>
      <c r="F4" s="855"/>
      <c r="G4" s="855"/>
      <c r="H4" s="855"/>
      <c r="I4" s="855"/>
      <c r="J4" s="845"/>
      <c r="K4" s="847"/>
      <c r="L4" s="843"/>
    </row>
    <row r="5" spans="1:15" x14ac:dyDescent="0.25">
      <c r="A5" s="459" t="s">
        <v>314</v>
      </c>
      <c r="B5" s="460"/>
      <c r="C5" s="461"/>
      <c r="D5" s="462"/>
      <c r="E5" s="462"/>
      <c r="F5" s="462"/>
      <c r="G5" s="462"/>
      <c r="H5" s="462"/>
      <c r="I5" s="462"/>
      <c r="J5" s="463"/>
      <c r="K5" s="464"/>
      <c r="L5" s="701"/>
    </row>
    <row r="6" spans="1:15" x14ac:dyDescent="0.25">
      <c r="A6" s="465" t="s">
        <v>315</v>
      </c>
      <c r="B6" s="460" t="s">
        <v>316</v>
      </c>
      <c r="C6" s="788">
        <v>4120256</v>
      </c>
      <c r="D6" s="475">
        <v>3027429</v>
      </c>
      <c r="E6" s="475">
        <v>2477607</v>
      </c>
      <c r="F6" s="475">
        <v>2369584</v>
      </c>
      <c r="G6" s="475">
        <v>64394693</v>
      </c>
      <c r="H6" s="475">
        <v>0</v>
      </c>
      <c r="I6" s="475">
        <v>0</v>
      </c>
      <c r="J6" s="476">
        <v>0</v>
      </c>
      <c r="K6" s="468">
        <f>SUM(C6:J6)</f>
        <v>76389569</v>
      </c>
      <c r="L6" s="724">
        <v>45470529</v>
      </c>
    </row>
    <row r="7" spans="1:15" x14ac:dyDescent="0.25">
      <c r="A7" s="465" t="s">
        <v>317</v>
      </c>
      <c r="B7" s="460" t="s">
        <v>318</v>
      </c>
      <c r="C7" s="788">
        <v>367714</v>
      </c>
      <c r="D7" s="475">
        <v>385223</v>
      </c>
      <c r="E7" s="475">
        <v>385519</v>
      </c>
      <c r="F7" s="475">
        <v>2576316</v>
      </c>
      <c r="G7" s="475">
        <v>49101276</v>
      </c>
      <c r="H7" s="475">
        <v>0</v>
      </c>
      <c r="I7" s="475">
        <v>0</v>
      </c>
      <c r="J7" s="476">
        <v>0</v>
      </c>
      <c r="K7" s="468">
        <f>SUM(C7:J7)</f>
        <v>52816048</v>
      </c>
      <c r="L7" s="771">
        <v>36005100</v>
      </c>
    </row>
    <row r="8" spans="1:15" x14ac:dyDescent="0.25">
      <c r="A8" s="465" t="s">
        <v>319</v>
      </c>
      <c r="B8" s="460" t="s">
        <v>320</v>
      </c>
      <c r="C8" s="788">
        <v>0</v>
      </c>
      <c r="D8" s="475">
        <v>0</v>
      </c>
      <c r="E8" s="475">
        <v>0</v>
      </c>
      <c r="F8" s="475">
        <v>0</v>
      </c>
      <c r="G8" s="475">
        <v>0</v>
      </c>
      <c r="H8" s="475">
        <v>0</v>
      </c>
      <c r="I8" s="475">
        <v>0</v>
      </c>
      <c r="J8" s="476">
        <v>0</v>
      </c>
      <c r="K8" s="468">
        <v>0</v>
      </c>
      <c r="L8" s="724">
        <v>0</v>
      </c>
    </row>
    <row r="9" spans="1:15" x14ac:dyDescent="0.25">
      <c r="A9" s="465" t="s">
        <v>321</v>
      </c>
      <c r="B9" s="460" t="s">
        <v>322</v>
      </c>
      <c r="C9" s="788">
        <v>0</v>
      </c>
      <c r="D9" s="475">
        <v>0</v>
      </c>
      <c r="E9" s="475">
        <v>0</v>
      </c>
      <c r="F9" s="475">
        <v>0</v>
      </c>
      <c r="G9" s="475">
        <v>0</v>
      </c>
      <c r="H9" s="475">
        <v>0</v>
      </c>
      <c r="I9" s="475">
        <v>0</v>
      </c>
      <c r="J9" s="476">
        <v>0</v>
      </c>
      <c r="K9" s="468">
        <v>0</v>
      </c>
      <c r="L9" s="724">
        <v>0</v>
      </c>
    </row>
    <row r="10" spans="1:15" x14ac:dyDescent="0.25">
      <c r="A10" s="465" t="s">
        <v>323</v>
      </c>
      <c r="B10" s="460" t="s">
        <v>324</v>
      </c>
      <c r="C10" s="788">
        <v>0</v>
      </c>
      <c r="D10" s="475">
        <v>0</v>
      </c>
      <c r="E10" s="475">
        <v>0</v>
      </c>
      <c r="F10" s="475">
        <v>0</v>
      </c>
      <c r="G10" s="475">
        <v>0</v>
      </c>
      <c r="H10" s="475">
        <v>0</v>
      </c>
      <c r="I10" s="475">
        <v>0</v>
      </c>
      <c r="J10" s="476">
        <v>0</v>
      </c>
      <c r="K10" s="468">
        <v>0</v>
      </c>
      <c r="L10" s="771">
        <v>0</v>
      </c>
    </row>
    <row r="11" spans="1:15" x14ac:dyDescent="0.25">
      <c r="A11" s="465" t="s">
        <v>325</v>
      </c>
      <c r="B11" s="460" t="s">
        <v>326</v>
      </c>
      <c r="C11" s="788">
        <v>0</v>
      </c>
      <c r="D11" s="475">
        <v>0</v>
      </c>
      <c r="E11" s="475">
        <v>0</v>
      </c>
      <c r="F11" s="475">
        <v>0</v>
      </c>
      <c r="G11" s="475">
        <v>0</v>
      </c>
      <c r="H11" s="475">
        <v>0</v>
      </c>
      <c r="I11" s="475">
        <v>0</v>
      </c>
      <c r="J11" s="476">
        <v>0</v>
      </c>
      <c r="K11" s="468">
        <v>0</v>
      </c>
      <c r="L11" s="724">
        <v>0</v>
      </c>
    </row>
    <row r="12" spans="1:15" x14ac:dyDescent="0.25">
      <c r="A12" s="465" t="s">
        <v>327</v>
      </c>
      <c r="B12" s="460" t="s">
        <v>328</v>
      </c>
      <c r="C12" s="788">
        <v>2005393</v>
      </c>
      <c r="D12" s="475">
        <v>1946013</v>
      </c>
      <c r="E12" s="475">
        <v>1073659</v>
      </c>
      <c r="F12" s="475">
        <v>1417052</v>
      </c>
      <c r="G12" s="475">
        <v>6709993</v>
      </c>
      <c r="H12" s="475">
        <v>0</v>
      </c>
      <c r="I12" s="475">
        <v>0</v>
      </c>
      <c r="J12" s="476">
        <v>0</v>
      </c>
      <c r="K12" s="468">
        <f>SUM(C12:J12)</f>
        <v>13152110</v>
      </c>
      <c r="L12" s="724">
        <v>9924493</v>
      </c>
    </row>
    <row r="13" spans="1:15" x14ac:dyDescent="0.25">
      <c r="A13" s="465" t="s">
        <v>329</v>
      </c>
      <c r="B13" s="460" t="s">
        <v>330</v>
      </c>
      <c r="C13" s="788">
        <v>48264</v>
      </c>
      <c r="D13" s="475">
        <v>39603</v>
      </c>
      <c r="E13" s="475">
        <v>46497</v>
      </c>
      <c r="F13" s="475">
        <v>192935</v>
      </c>
      <c r="G13" s="475">
        <v>3053357</v>
      </c>
      <c r="H13" s="475">
        <v>0</v>
      </c>
      <c r="I13" s="475">
        <v>0</v>
      </c>
      <c r="J13" s="476">
        <v>0</v>
      </c>
      <c r="K13" s="468">
        <f>SUM(C13:J13)</f>
        <v>3380656</v>
      </c>
      <c r="L13" s="724">
        <v>4162248</v>
      </c>
      <c r="O13" s="561"/>
    </row>
    <row r="14" spans="1:15" x14ac:dyDescent="0.25">
      <c r="A14" s="465" t="s">
        <v>116</v>
      </c>
      <c r="B14" s="460" t="s">
        <v>331</v>
      </c>
      <c r="C14" s="788">
        <v>0</v>
      </c>
      <c r="D14" s="475">
        <v>0</v>
      </c>
      <c r="E14" s="475">
        <v>0</v>
      </c>
      <c r="F14" s="475">
        <v>0</v>
      </c>
      <c r="G14" s="475">
        <v>0</v>
      </c>
      <c r="H14" s="475">
        <v>0</v>
      </c>
      <c r="I14" s="475">
        <v>0</v>
      </c>
      <c r="J14" s="476">
        <v>0</v>
      </c>
      <c r="K14" s="770">
        <v>0</v>
      </c>
      <c r="L14" s="724">
        <v>0</v>
      </c>
    </row>
    <row r="15" spans="1:15" x14ac:dyDescent="0.25">
      <c r="A15" s="469" t="s">
        <v>332</v>
      </c>
      <c r="B15" s="470" t="s">
        <v>333</v>
      </c>
      <c r="C15" s="583">
        <f>SUM(C6:C14)</f>
        <v>6541627</v>
      </c>
      <c r="D15" s="584">
        <f>SUM(D6:D14)</f>
        <v>5398268</v>
      </c>
      <c r="E15" s="584">
        <f>SUM(E6:E14)</f>
        <v>3983282</v>
      </c>
      <c r="F15" s="584">
        <f t="shared" ref="F15:J15" si="0">SUM(F6:F14)</f>
        <v>6555887</v>
      </c>
      <c r="G15" s="584">
        <f>SUM(G6:G14)</f>
        <v>123259319</v>
      </c>
      <c r="H15" s="584">
        <f t="shared" si="0"/>
        <v>0</v>
      </c>
      <c r="I15" s="584">
        <f t="shared" si="0"/>
        <v>0</v>
      </c>
      <c r="J15" s="585">
        <f t="shared" si="0"/>
        <v>0</v>
      </c>
      <c r="K15" s="582">
        <f>SUM(C15:J15)</f>
        <v>145738383</v>
      </c>
      <c r="L15" s="585">
        <f>SUM(L6:L14)</f>
        <v>95562370</v>
      </c>
    </row>
    <row r="16" spans="1:15" ht="15.75" thickBot="1" x14ac:dyDescent="0.3"/>
    <row r="17" spans="1:11" x14ac:dyDescent="0.25">
      <c r="A17" s="549" t="s">
        <v>413</v>
      </c>
      <c r="B17" s="550"/>
      <c r="C17" s="550"/>
      <c r="D17" s="550"/>
      <c r="E17" s="550"/>
      <c r="F17" s="550"/>
      <c r="G17" s="550"/>
      <c r="H17" s="550"/>
      <c r="I17" s="550"/>
      <c r="J17" s="550"/>
      <c r="K17" s="555">
        <f>L15</f>
        <v>95562370</v>
      </c>
    </row>
    <row r="18" spans="1:11" x14ac:dyDescent="0.25">
      <c r="A18" s="551" t="s">
        <v>355</v>
      </c>
      <c r="B18" s="552"/>
      <c r="C18" s="552"/>
      <c r="D18" s="552"/>
      <c r="E18" s="552"/>
      <c r="F18" s="552"/>
      <c r="G18" s="552"/>
      <c r="H18" s="552"/>
      <c r="I18" s="552"/>
      <c r="J18" s="552"/>
      <c r="K18" s="556">
        <f>+K17-K19</f>
        <v>-50176013</v>
      </c>
    </row>
    <row r="19" spans="1:11" ht="15.75" thickBot="1" x14ac:dyDescent="0.3">
      <c r="A19" s="553" t="s">
        <v>414</v>
      </c>
      <c r="B19" s="554"/>
      <c r="C19" s="554"/>
      <c r="D19" s="554"/>
      <c r="E19" s="554"/>
      <c r="F19" s="554"/>
      <c r="G19" s="554"/>
      <c r="H19" s="554"/>
      <c r="I19" s="554"/>
      <c r="J19" s="554"/>
      <c r="K19" s="557">
        <f>+K15</f>
        <v>145738383</v>
      </c>
    </row>
  </sheetData>
  <mergeCells count="13">
    <mergeCell ref="L2:L4"/>
    <mergeCell ref="J3:J4"/>
    <mergeCell ref="K3:K4"/>
    <mergeCell ref="A1:K1"/>
    <mergeCell ref="A2:A3"/>
    <mergeCell ref="B2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L14"/>
  <sheetViews>
    <sheetView workbookViewId="0">
      <selection activeCell="H5" sqref="H5"/>
    </sheetView>
  </sheetViews>
  <sheetFormatPr defaultRowHeight="15" x14ac:dyDescent="0.25"/>
  <cols>
    <col min="1" max="1" width="25.85546875" bestFit="1" customWidth="1"/>
    <col min="2" max="2" width="3.140625" bestFit="1" customWidth="1"/>
    <col min="3" max="3" width="8.42578125" bestFit="1" customWidth="1"/>
    <col min="4" max="4" width="13.5703125" bestFit="1" customWidth="1"/>
    <col min="5" max="5" width="8.28515625" bestFit="1" customWidth="1"/>
    <col min="6" max="6" width="11.7109375" bestFit="1" customWidth="1"/>
    <col min="7" max="7" width="9" bestFit="1" customWidth="1"/>
    <col min="9" max="9" width="8.28515625" customWidth="1"/>
  </cols>
  <sheetData>
    <row r="1" spans="1:12" x14ac:dyDescent="0.25">
      <c r="A1" s="619" t="s">
        <v>416</v>
      </c>
      <c r="B1" s="619"/>
      <c r="C1" s="619"/>
      <c r="D1" s="619"/>
      <c r="E1" s="619"/>
      <c r="F1" s="619"/>
      <c r="G1" s="619"/>
      <c r="H1" s="619"/>
      <c r="I1" s="619"/>
      <c r="J1" s="619"/>
    </row>
    <row r="2" spans="1:12" ht="25.5" x14ac:dyDescent="0.25">
      <c r="A2" s="471" t="s">
        <v>334</v>
      </c>
      <c r="B2" s="850" t="s">
        <v>1</v>
      </c>
      <c r="C2" s="472" t="s">
        <v>335</v>
      </c>
      <c r="D2" s="856" t="s">
        <v>336</v>
      </c>
      <c r="E2" s="856" t="s">
        <v>337</v>
      </c>
      <c r="F2" s="856" t="s">
        <v>338</v>
      </c>
      <c r="G2" s="856" t="s">
        <v>339</v>
      </c>
      <c r="H2" s="856" t="s">
        <v>340</v>
      </c>
      <c r="I2" s="856" t="s">
        <v>341</v>
      </c>
      <c r="J2" s="858" t="s">
        <v>342</v>
      </c>
    </row>
    <row r="3" spans="1:12" x14ac:dyDescent="0.25">
      <c r="A3" s="458"/>
      <c r="B3" s="847"/>
      <c r="C3" s="473" t="s">
        <v>343</v>
      </c>
      <c r="D3" s="857"/>
      <c r="E3" s="857"/>
      <c r="F3" s="857"/>
      <c r="G3" s="857"/>
      <c r="H3" s="857"/>
      <c r="I3" s="857"/>
      <c r="J3" s="859"/>
    </row>
    <row r="4" spans="1:12" x14ac:dyDescent="0.25">
      <c r="A4" s="478" t="s">
        <v>344</v>
      </c>
      <c r="B4" s="460"/>
      <c r="C4" s="542"/>
      <c r="D4" s="543"/>
      <c r="E4" s="543"/>
      <c r="F4" s="543"/>
      <c r="G4" s="543"/>
      <c r="H4" s="543"/>
      <c r="I4" s="543"/>
      <c r="J4" s="544"/>
    </row>
    <row r="5" spans="1:12" x14ac:dyDescent="0.25">
      <c r="A5" s="479" t="s">
        <v>345</v>
      </c>
      <c r="B5" s="460"/>
      <c r="C5" s="474"/>
      <c r="D5" s="475"/>
      <c r="E5" s="475"/>
      <c r="F5" s="475">
        <v>35011.82</v>
      </c>
      <c r="G5" s="477">
        <v>0</v>
      </c>
      <c r="H5" s="466">
        <v>0</v>
      </c>
      <c r="I5" s="466">
        <v>-3189008.4600000004</v>
      </c>
      <c r="J5" s="467">
        <v>0</v>
      </c>
    </row>
    <row r="6" spans="1:12" x14ac:dyDescent="0.25">
      <c r="A6" s="479" t="s">
        <v>347</v>
      </c>
      <c r="B6" s="460"/>
      <c r="C6" s="474"/>
      <c r="D6" s="475" t="s">
        <v>353</v>
      </c>
      <c r="E6" s="475" t="s">
        <v>346</v>
      </c>
      <c r="F6" s="475">
        <v>13343.22</v>
      </c>
      <c r="G6" s="477" t="e">
        <f>+F6/J6</f>
        <v>#DIV/0!</v>
      </c>
      <c r="H6" s="466">
        <v>0</v>
      </c>
      <c r="I6" s="466">
        <v>227449.3</v>
      </c>
      <c r="J6" s="467">
        <v>0</v>
      </c>
    </row>
    <row r="7" spans="1:12" x14ac:dyDescent="0.25">
      <c r="A7" s="479" t="s">
        <v>348</v>
      </c>
      <c r="B7" s="460"/>
      <c r="C7" s="474"/>
      <c r="D7" s="475" t="s">
        <v>354</v>
      </c>
      <c r="E7" s="475" t="s">
        <v>346</v>
      </c>
      <c r="F7" s="475">
        <v>269.62</v>
      </c>
      <c r="G7" s="477" t="e">
        <f>+F7/J7</f>
        <v>#DIV/0!</v>
      </c>
      <c r="H7" s="466">
        <v>0</v>
      </c>
      <c r="I7" s="466">
        <v>92640.08</v>
      </c>
      <c r="J7" s="467">
        <v>0</v>
      </c>
      <c r="L7" s="765"/>
    </row>
    <row r="8" spans="1:12" x14ac:dyDescent="0.25">
      <c r="A8" s="479"/>
      <c r="B8" s="460"/>
      <c r="C8" s="474"/>
      <c r="D8" s="475"/>
      <c r="E8" s="475"/>
      <c r="F8" s="475"/>
      <c r="G8" s="477"/>
      <c r="H8" s="466">
        <v>0</v>
      </c>
      <c r="I8" s="466">
        <v>0</v>
      </c>
      <c r="J8" s="774">
        <v>0</v>
      </c>
    </row>
    <row r="9" spans="1:12" x14ac:dyDescent="0.25">
      <c r="A9" s="479"/>
      <c r="B9" s="460"/>
      <c r="C9" s="474"/>
      <c r="D9" s="475"/>
      <c r="E9" s="475"/>
      <c r="F9" s="475"/>
      <c r="G9" s="768"/>
      <c r="H9" s="475">
        <v>0</v>
      </c>
      <c r="I9" s="475">
        <v>0</v>
      </c>
      <c r="J9" s="476">
        <v>0</v>
      </c>
    </row>
    <row r="10" spans="1:12" x14ac:dyDescent="0.25">
      <c r="A10" s="479"/>
      <c r="B10" s="460"/>
      <c r="C10" s="474"/>
      <c r="D10" s="475"/>
      <c r="E10" s="475"/>
      <c r="F10" s="475"/>
      <c r="G10" s="477"/>
      <c r="H10" s="475">
        <v>0</v>
      </c>
      <c r="I10" s="475">
        <v>0</v>
      </c>
      <c r="J10" s="476">
        <v>0</v>
      </c>
      <c r="L10" s="765"/>
    </row>
    <row r="11" spans="1:12" x14ac:dyDescent="0.25">
      <c r="A11" s="479"/>
      <c r="B11" s="460"/>
      <c r="C11" s="545"/>
      <c r="D11" s="546"/>
      <c r="E11" s="546"/>
      <c r="F11" s="546"/>
      <c r="G11" s="547"/>
      <c r="H11" s="769">
        <v>0</v>
      </c>
      <c r="I11" s="546">
        <v>0</v>
      </c>
      <c r="J11" s="548">
        <v>0</v>
      </c>
    </row>
    <row r="12" spans="1:12" x14ac:dyDescent="0.25">
      <c r="A12" s="480" t="s">
        <v>349</v>
      </c>
      <c r="B12" s="481">
        <v>2</v>
      </c>
      <c r="C12" s="615"/>
      <c r="D12" s="616"/>
      <c r="E12" s="616"/>
      <c r="F12" s="616">
        <f>SUM(F5:F11)</f>
        <v>48624.66</v>
      </c>
      <c r="G12" s="617"/>
      <c r="H12" s="616">
        <f>SUM(H5:H11)</f>
        <v>0</v>
      </c>
      <c r="I12" s="616">
        <f>SUM(I5:I11)</f>
        <v>-2868919.0800000005</v>
      </c>
      <c r="J12" s="618">
        <f>SUM(J5:J11)</f>
        <v>0</v>
      </c>
    </row>
    <row r="14" spans="1:12" x14ac:dyDescent="0.25">
      <c r="K14" s="765"/>
    </row>
  </sheetData>
  <mergeCells count="8">
    <mergeCell ref="H2:H3"/>
    <mergeCell ref="I2:I3"/>
    <mergeCell ref="J2:J3"/>
    <mergeCell ref="B2:B3"/>
    <mergeCell ref="D2:D3"/>
    <mergeCell ref="E2:E3"/>
    <mergeCell ref="F2:F3"/>
    <mergeCell ref="G2:G3"/>
  </mergeCells>
  <pageMargins left="0.7" right="0.7" top="0.75" bottom="0.75" header="0.3" footer="0.3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N29"/>
  <sheetViews>
    <sheetView workbookViewId="0">
      <selection activeCell="J16" sqref="J16:J17"/>
    </sheetView>
  </sheetViews>
  <sheetFormatPr defaultRowHeight="15" x14ac:dyDescent="0.25"/>
  <cols>
    <col min="1" max="1" width="31.28515625" style="227" bestFit="1" customWidth="1"/>
    <col min="2" max="2" width="3.140625" style="227" bestFit="1" customWidth="1"/>
    <col min="3" max="3" width="6.85546875" style="227" bestFit="1" customWidth="1"/>
    <col min="4" max="4" width="11" style="227" bestFit="1" customWidth="1"/>
    <col min="5" max="5" width="11" style="227" customWidth="1"/>
    <col min="6" max="7" width="11" style="227" bestFit="1" customWidth="1"/>
    <col min="8" max="8" width="10.28515625" style="227" bestFit="1" customWidth="1"/>
    <col min="9" max="9" width="6.85546875" style="762" customWidth="1"/>
    <col min="10" max="10" width="11" style="227" bestFit="1" customWidth="1"/>
  </cols>
  <sheetData>
    <row r="1" spans="1:12" x14ac:dyDescent="0.25">
      <c r="A1" s="833" t="s">
        <v>417</v>
      </c>
      <c r="B1" s="833"/>
      <c r="C1" s="833"/>
      <c r="D1" s="833"/>
      <c r="E1" s="833"/>
      <c r="F1" s="833"/>
      <c r="G1" s="833"/>
      <c r="H1" s="833"/>
      <c r="I1" s="833"/>
      <c r="J1" s="833"/>
    </row>
    <row r="2" spans="1:12" x14ac:dyDescent="0.25">
      <c r="A2" s="826" t="s">
        <v>0</v>
      </c>
      <c r="B2" s="830" t="s">
        <v>1</v>
      </c>
      <c r="C2" s="304" t="s">
        <v>363</v>
      </c>
      <c r="D2" s="313" t="s">
        <v>362</v>
      </c>
      <c r="E2" s="413"/>
      <c r="F2" s="311"/>
      <c r="G2" s="311"/>
      <c r="H2" s="311"/>
      <c r="I2" s="752"/>
      <c r="J2" s="312"/>
    </row>
    <row r="3" spans="1:12" ht="25.5" x14ac:dyDescent="0.25">
      <c r="A3" s="827"/>
      <c r="B3" s="831"/>
      <c r="C3" s="306" t="s">
        <v>3</v>
      </c>
      <c r="D3" s="310" t="s">
        <v>4</v>
      </c>
      <c r="E3" s="414" t="s">
        <v>387</v>
      </c>
      <c r="F3" s="305" t="s">
        <v>7</v>
      </c>
      <c r="G3" s="305" t="s">
        <v>8</v>
      </c>
      <c r="H3" s="305" t="s">
        <v>9</v>
      </c>
      <c r="I3" s="753" t="s">
        <v>9</v>
      </c>
      <c r="J3" s="307" t="s">
        <v>10</v>
      </c>
    </row>
    <row r="4" spans="1:12" x14ac:dyDescent="0.25">
      <c r="A4" s="314" t="s">
        <v>11</v>
      </c>
      <c r="B4" s="173"/>
      <c r="C4" s="315"/>
      <c r="D4" s="302"/>
      <c r="E4" s="335"/>
      <c r="F4" s="316"/>
      <c r="G4" s="316"/>
      <c r="H4" s="316"/>
      <c r="I4" s="754" t="s">
        <v>12</v>
      </c>
      <c r="J4" s="317"/>
    </row>
    <row r="5" spans="1:12" x14ac:dyDescent="0.25">
      <c r="A5" s="174" t="s">
        <v>256</v>
      </c>
      <c r="B5" s="308" t="s">
        <v>257</v>
      </c>
      <c r="C5" s="309"/>
      <c r="D5" s="301"/>
      <c r="E5" s="789"/>
      <c r="F5" s="225"/>
      <c r="G5" s="225"/>
      <c r="H5" s="225"/>
      <c r="I5" s="755"/>
      <c r="J5" s="27"/>
    </row>
    <row r="6" spans="1:12" x14ac:dyDescent="0.25">
      <c r="A6" s="166" t="s">
        <v>258</v>
      </c>
      <c r="B6" s="308"/>
      <c r="C6" s="309"/>
      <c r="D6" s="301"/>
      <c r="E6" s="789"/>
      <c r="F6" s="225"/>
      <c r="G6" s="225"/>
      <c r="H6" s="225"/>
      <c r="I6" s="755"/>
      <c r="J6" s="27"/>
    </row>
    <row r="7" spans="1:12" x14ac:dyDescent="0.25">
      <c r="A7" s="319" t="s">
        <v>259</v>
      </c>
      <c r="B7" s="308"/>
      <c r="C7" s="266">
        <v>0</v>
      </c>
      <c r="D7" s="739">
        <f>SUM(D8:D10)</f>
        <v>62840000</v>
      </c>
      <c r="E7" s="790">
        <f>SUM(E8:E10)</f>
        <v>61088000</v>
      </c>
      <c r="F7" s="588">
        <f t="shared" ref="F7:J7" si="0">SUM(F8:F10)</f>
        <v>61088000</v>
      </c>
      <c r="G7" s="588">
        <f t="shared" si="0"/>
        <v>61088000</v>
      </c>
      <c r="H7" s="588">
        <f t="shared" si="0"/>
        <v>0</v>
      </c>
      <c r="I7" s="756">
        <f t="shared" si="0"/>
        <v>3</v>
      </c>
      <c r="J7" s="740">
        <f t="shared" si="0"/>
        <v>62840000</v>
      </c>
      <c r="L7" s="765"/>
    </row>
    <row r="8" spans="1:12" x14ac:dyDescent="0.25">
      <c r="A8" s="167" t="s">
        <v>260</v>
      </c>
      <c r="B8" s="308"/>
      <c r="C8" s="188">
        <v>0</v>
      </c>
      <c r="D8" s="737">
        <v>59830000</v>
      </c>
      <c r="E8" s="791">
        <v>58078000</v>
      </c>
      <c r="F8" s="731">
        <v>58078000</v>
      </c>
      <c r="G8" s="731">
        <f>E8</f>
        <v>58078000</v>
      </c>
      <c r="H8" s="732">
        <f>F8-G8</f>
        <v>0</v>
      </c>
      <c r="I8" s="757">
        <v>1</v>
      </c>
      <c r="J8" s="772">
        <f>D8</f>
        <v>59830000</v>
      </c>
    </row>
    <row r="9" spans="1:12" x14ac:dyDescent="0.25">
      <c r="A9" s="167" t="s">
        <v>261</v>
      </c>
      <c r="B9" s="308"/>
      <c r="C9" s="169">
        <v>0</v>
      </c>
      <c r="D9" s="738">
        <v>2010000</v>
      </c>
      <c r="E9" s="792">
        <v>2010000</v>
      </c>
      <c r="F9" s="734">
        <v>2010000</v>
      </c>
      <c r="G9" s="763">
        <f t="shared" ref="G9:G10" si="1">E9</f>
        <v>2010000</v>
      </c>
      <c r="H9" s="735">
        <f>F9-G9</f>
        <v>0</v>
      </c>
      <c r="I9" s="758">
        <v>1</v>
      </c>
      <c r="J9" s="736">
        <f>D9</f>
        <v>2010000</v>
      </c>
    </row>
    <row r="10" spans="1:12" x14ac:dyDescent="0.25">
      <c r="A10" s="167" t="s">
        <v>264</v>
      </c>
      <c r="B10" s="308"/>
      <c r="C10" s="169">
        <v>0</v>
      </c>
      <c r="D10" s="738">
        <v>1000000</v>
      </c>
      <c r="E10" s="792">
        <v>1000000</v>
      </c>
      <c r="F10" s="734">
        <v>1000000</v>
      </c>
      <c r="G10" s="734">
        <f t="shared" si="1"/>
        <v>1000000</v>
      </c>
      <c r="H10" s="735">
        <f>F10-G10</f>
        <v>0</v>
      </c>
      <c r="I10" s="758">
        <v>1</v>
      </c>
      <c r="J10" s="736">
        <f>D10</f>
        <v>1000000</v>
      </c>
      <c r="L10" s="765"/>
    </row>
    <row r="11" spans="1:12" x14ac:dyDescent="0.25">
      <c r="A11" s="189"/>
      <c r="B11" s="308"/>
      <c r="C11" s="169">
        <v>0</v>
      </c>
      <c r="D11" s="738">
        <v>0</v>
      </c>
      <c r="E11" s="792"/>
      <c r="F11" s="734">
        <v>0</v>
      </c>
      <c r="G11" s="734">
        <v>0</v>
      </c>
      <c r="H11" s="764">
        <v>0</v>
      </c>
      <c r="I11" s="758" t="s">
        <v>16</v>
      </c>
      <c r="J11" s="736">
        <v>0</v>
      </c>
    </row>
    <row r="12" spans="1:12" x14ac:dyDescent="0.25">
      <c r="A12" s="264" t="s">
        <v>272</v>
      </c>
      <c r="B12" s="191">
        <v>5</v>
      </c>
      <c r="C12" s="229">
        <v>0</v>
      </c>
      <c r="D12" s="741">
        <f>SUM(D8:D11)</f>
        <v>62840000</v>
      </c>
      <c r="E12" s="793">
        <f>SUM(E8:E11)</f>
        <v>61088000</v>
      </c>
      <c r="F12" s="742">
        <f t="shared" ref="F12:J12" si="2">SUM(F8:F11)</f>
        <v>61088000</v>
      </c>
      <c r="G12" s="742">
        <f t="shared" si="2"/>
        <v>61088000</v>
      </c>
      <c r="H12" s="742">
        <f t="shared" si="2"/>
        <v>0</v>
      </c>
      <c r="I12" s="759">
        <f t="shared" si="2"/>
        <v>3</v>
      </c>
      <c r="J12" s="743">
        <f t="shared" si="2"/>
        <v>62840000</v>
      </c>
    </row>
    <row r="13" spans="1:12" x14ac:dyDescent="0.25">
      <c r="A13" s="303"/>
      <c r="B13" s="308"/>
      <c r="C13" s="226"/>
      <c r="D13" s="744"/>
      <c r="E13" s="794"/>
      <c r="F13" s="735"/>
      <c r="G13" s="735"/>
      <c r="H13" s="735"/>
      <c r="I13" s="758"/>
      <c r="J13" s="745"/>
    </row>
    <row r="14" spans="1:12" x14ac:dyDescent="0.25">
      <c r="A14" s="166" t="s">
        <v>273</v>
      </c>
      <c r="B14" s="308"/>
      <c r="C14" s="226"/>
      <c r="D14" s="744"/>
      <c r="E14" s="794"/>
      <c r="F14" s="735"/>
      <c r="G14" s="735"/>
      <c r="H14" s="735"/>
      <c r="I14" s="758"/>
      <c r="J14" s="745"/>
      <c r="K14" s="765"/>
    </row>
    <row r="15" spans="1:12" x14ac:dyDescent="0.25">
      <c r="A15" s="319" t="s">
        <v>259</v>
      </c>
      <c r="B15" s="308"/>
      <c r="C15" s="266">
        <v>0</v>
      </c>
      <c r="D15" s="739">
        <f t="shared" ref="D15:H15" si="3">SUM(D16:D17)</f>
        <v>47530000</v>
      </c>
      <c r="E15" s="790">
        <f t="shared" si="3"/>
        <v>47530000</v>
      </c>
      <c r="F15" s="588">
        <f t="shared" si="3"/>
        <v>64480734.530000001</v>
      </c>
      <c r="G15" s="588">
        <f t="shared" si="3"/>
        <v>47530000</v>
      </c>
      <c r="H15" s="588">
        <f t="shared" si="3"/>
        <v>16950734.530000001</v>
      </c>
      <c r="I15" s="756">
        <v>3.2312211498111622E-2</v>
      </c>
      <c r="J15" s="740">
        <f>SUM(J16:J17)</f>
        <v>47530000</v>
      </c>
    </row>
    <row r="16" spans="1:12" x14ac:dyDescent="0.25">
      <c r="A16" s="167" t="s">
        <v>274</v>
      </c>
      <c r="B16" s="308"/>
      <c r="C16" s="188">
        <v>0</v>
      </c>
      <c r="D16" s="737">
        <v>20090000</v>
      </c>
      <c r="E16" s="791">
        <v>20090000</v>
      </c>
      <c r="F16" s="731">
        <v>20090000</v>
      </c>
      <c r="G16" s="731">
        <f t="shared" ref="G16:G17" si="4">E16</f>
        <v>20090000</v>
      </c>
      <c r="H16" s="732">
        <f>F16-G16</f>
        <v>0</v>
      </c>
      <c r="I16" s="757">
        <v>1</v>
      </c>
      <c r="J16" s="733">
        <f>D16</f>
        <v>20090000</v>
      </c>
    </row>
    <row r="17" spans="1:14" x14ac:dyDescent="0.25">
      <c r="A17" s="167" t="s">
        <v>275</v>
      </c>
      <c r="B17" s="308"/>
      <c r="C17" s="169">
        <v>0</v>
      </c>
      <c r="D17" s="738">
        <v>27440000</v>
      </c>
      <c r="E17" s="792">
        <v>27440000</v>
      </c>
      <c r="F17" s="734">
        <v>44390734.530000001</v>
      </c>
      <c r="G17" s="734">
        <f t="shared" si="4"/>
        <v>27440000</v>
      </c>
      <c r="H17" s="735">
        <f>F17-G17</f>
        <v>16950734.530000001</v>
      </c>
      <c r="I17" s="683">
        <f t="shared" ref="I17" si="5">G17/H17</f>
        <v>1.6188089047961745</v>
      </c>
      <c r="J17" s="736">
        <f>D17</f>
        <v>27440000</v>
      </c>
    </row>
    <row r="18" spans="1:14" x14ac:dyDescent="0.25">
      <c r="A18" s="171" t="s">
        <v>279</v>
      </c>
      <c r="B18" s="228">
        <v>5</v>
      </c>
      <c r="C18" s="265">
        <v>0</v>
      </c>
      <c r="D18" s="746">
        <f>SUM(D16:D17)</f>
        <v>47530000</v>
      </c>
      <c r="E18" s="795">
        <f>SUM(E16:E17)</f>
        <v>47530000</v>
      </c>
      <c r="F18" s="747">
        <f t="shared" ref="F18:J18" si="6">SUM(F16:F17)</f>
        <v>64480734.530000001</v>
      </c>
      <c r="G18" s="747">
        <f t="shared" si="6"/>
        <v>47530000</v>
      </c>
      <c r="H18" s="747">
        <f t="shared" si="6"/>
        <v>16950734.530000001</v>
      </c>
      <c r="I18" s="760">
        <f t="shared" si="6"/>
        <v>2.6188089047961745</v>
      </c>
      <c r="J18" s="748">
        <f t="shared" si="6"/>
        <v>47530000</v>
      </c>
      <c r="L18" s="570"/>
      <c r="M18" s="570"/>
      <c r="N18" s="570"/>
    </row>
    <row r="19" spans="1:14" x14ac:dyDescent="0.25">
      <c r="A19" s="165"/>
      <c r="B19" s="173"/>
      <c r="C19" s="224"/>
      <c r="D19" s="749"/>
      <c r="E19" s="796"/>
      <c r="F19" s="750"/>
      <c r="G19" s="750"/>
      <c r="H19" s="750"/>
      <c r="I19" s="761"/>
      <c r="J19" s="751"/>
      <c r="L19" s="570"/>
      <c r="M19" s="570"/>
      <c r="N19" s="570"/>
    </row>
    <row r="20" spans="1:14" x14ac:dyDescent="0.25">
      <c r="A20" s="263" t="s">
        <v>280</v>
      </c>
      <c r="B20" s="318">
        <v>5</v>
      </c>
      <c r="C20" s="161">
        <v>0</v>
      </c>
      <c r="D20" s="797">
        <f t="shared" ref="D20:H20" si="7">D12+D18</f>
        <v>110370000</v>
      </c>
      <c r="E20" s="798">
        <f t="shared" si="7"/>
        <v>108618000</v>
      </c>
      <c r="F20" s="799">
        <f t="shared" si="7"/>
        <v>125568734.53</v>
      </c>
      <c r="G20" s="799">
        <f t="shared" si="7"/>
        <v>108618000</v>
      </c>
      <c r="H20" s="799">
        <f t="shared" si="7"/>
        <v>16950734.530000001</v>
      </c>
      <c r="I20" s="800">
        <v>0.43484388449060279</v>
      </c>
      <c r="J20" s="801">
        <f>J12+J18</f>
        <v>110370000</v>
      </c>
      <c r="L20" s="571">
        <f>L12+L18</f>
        <v>0</v>
      </c>
      <c r="M20" s="570"/>
      <c r="N20" s="570"/>
    </row>
    <row r="21" spans="1:14" x14ac:dyDescent="0.25">
      <c r="L21" s="572">
        <f>L13+L19</f>
        <v>0</v>
      </c>
      <c r="M21" s="570"/>
      <c r="N21" s="572"/>
    </row>
    <row r="22" spans="1:14" x14ac:dyDescent="0.25">
      <c r="L22" s="570"/>
      <c r="M22" s="570"/>
      <c r="N22" s="570"/>
    </row>
    <row r="23" spans="1:14" x14ac:dyDescent="0.25">
      <c r="L23" s="570"/>
      <c r="M23" s="570"/>
      <c r="N23" s="570"/>
    </row>
    <row r="24" spans="1:14" x14ac:dyDescent="0.25">
      <c r="L24" s="570"/>
      <c r="M24" s="570"/>
      <c r="N24" s="570"/>
    </row>
    <row r="25" spans="1:14" x14ac:dyDescent="0.25">
      <c r="L25" s="570"/>
      <c r="M25" s="570"/>
      <c r="N25" s="570"/>
    </row>
    <row r="26" spans="1:14" x14ac:dyDescent="0.25">
      <c r="L26" s="570"/>
      <c r="M26" s="570"/>
      <c r="N26" s="570"/>
    </row>
    <row r="27" spans="1:14" x14ac:dyDescent="0.25">
      <c r="L27" s="571"/>
      <c r="M27" s="570"/>
      <c r="N27" s="570"/>
    </row>
    <row r="28" spans="1:14" x14ac:dyDescent="0.25">
      <c r="L28" s="570"/>
      <c r="M28" s="570"/>
      <c r="N28" s="570"/>
    </row>
    <row r="29" spans="1:14" x14ac:dyDescent="0.25">
      <c r="L29" s="570"/>
      <c r="M29" s="572"/>
      <c r="N29" s="570"/>
    </row>
  </sheetData>
  <mergeCells count="3">
    <mergeCell ref="A2:A3"/>
    <mergeCell ref="B2:B3"/>
    <mergeCell ref="A1:J1"/>
  </mergeCells>
  <pageMargins left="0.7" right="0.7" top="0.75" bottom="0.75" header="0.3" footer="0.3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K49"/>
  <sheetViews>
    <sheetView topLeftCell="A27" workbookViewId="0">
      <selection activeCell="L10" activeCellId="13" sqref="G9 H11 H11 H11 H11 H11 K14 K14 K14 K14 L7 L7 L10 L10"/>
    </sheetView>
  </sheetViews>
  <sheetFormatPr defaultRowHeight="15" x14ac:dyDescent="0.25"/>
  <cols>
    <col min="1" max="1" width="36.42578125" bestFit="1" customWidth="1"/>
    <col min="2" max="2" width="3.140625" bestFit="1" customWidth="1"/>
    <col min="3" max="3" width="6.85546875" bestFit="1" customWidth="1"/>
    <col min="4" max="4" width="9" customWidth="1"/>
    <col min="5" max="5" width="8.42578125" customWidth="1"/>
    <col min="6" max="6" width="8.28515625" customWidth="1"/>
    <col min="7" max="7" width="7.85546875" customWidth="1"/>
    <col min="8" max="8" width="9.28515625" customWidth="1"/>
    <col min="9" max="9" width="7.7109375" customWidth="1"/>
    <col min="10" max="11" width="8.28515625" customWidth="1"/>
  </cols>
  <sheetData>
    <row r="1" spans="1:11" x14ac:dyDescent="0.25">
      <c r="A1" s="833" t="s">
        <v>364</v>
      </c>
      <c r="B1" s="833"/>
      <c r="C1" s="833"/>
      <c r="D1" s="833"/>
      <c r="E1" s="833"/>
      <c r="F1" s="833"/>
      <c r="G1" s="833"/>
      <c r="H1" s="833"/>
      <c r="I1" s="833"/>
      <c r="J1" s="833"/>
      <c r="K1" s="833"/>
    </row>
    <row r="2" spans="1:11" x14ac:dyDescent="0.25">
      <c r="A2" s="826" t="s">
        <v>0</v>
      </c>
      <c r="B2" s="830" t="s">
        <v>1</v>
      </c>
      <c r="C2" s="339" t="s">
        <v>363</v>
      </c>
      <c r="D2" s="347" t="s">
        <v>362</v>
      </c>
      <c r="E2" s="345"/>
      <c r="F2" s="345"/>
      <c r="G2" s="345"/>
      <c r="H2" s="345"/>
      <c r="I2" s="345"/>
      <c r="J2" s="345"/>
      <c r="K2" s="346"/>
    </row>
    <row r="3" spans="1:11" ht="25.5" x14ac:dyDescent="0.25">
      <c r="A3" s="827"/>
      <c r="B3" s="831"/>
      <c r="C3" s="341" t="s">
        <v>3</v>
      </c>
      <c r="D3" s="348" t="s">
        <v>4</v>
      </c>
      <c r="E3" s="340" t="s">
        <v>5</v>
      </c>
      <c r="F3" s="340" t="s">
        <v>6</v>
      </c>
      <c r="G3" s="340" t="s">
        <v>7</v>
      </c>
      <c r="H3" s="340" t="s">
        <v>8</v>
      </c>
      <c r="I3" s="340" t="s">
        <v>9</v>
      </c>
      <c r="J3" s="344" t="s">
        <v>9</v>
      </c>
      <c r="K3" s="342" t="s">
        <v>10</v>
      </c>
    </row>
    <row r="4" spans="1:11" x14ac:dyDescent="0.25">
      <c r="A4" s="349" t="s">
        <v>11</v>
      </c>
      <c r="B4" s="173"/>
      <c r="C4" s="350"/>
      <c r="D4" s="335"/>
      <c r="E4" s="184"/>
      <c r="F4" s="351"/>
      <c r="G4" s="351"/>
      <c r="H4" s="351"/>
      <c r="I4" s="351"/>
      <c r="J4" s="352" t="s">
        <v>12</v>
      </c>
      <c r="K4" s="353"/>
    </row>
    <row r="5" spans="1:11" x14ac:dyDescent="0.25">
      <c r="A5" s="324" t="s">
        <v>281</v>
      </c>
      <c r="B5" s="228"/>
      <c r="C5" s="359"/>
      <c r="D5" s="186"/>
      <c r="E5" s="336"/>
      <c r="F5" s="336"/>
      <c r="G5" s="336"/>
      <c r="H5" s="336"/>
      <c r="I5" s="336"/>
      <c r="J5" s="338"/>
      <c r="K5" s="355"/>
    </row>
    <row r="6" spans="1:11" x14ac:dyDescent="0.25">
      <c r="A6" s="174"/>
      <c r="B6" s="343"/>
      <c r="C6" s="359"/>
      <c r="D6" s="186"/>
      <c r="E6" s="336"/>
      <c r="F6" s="336"/>
      <c r="G6" s="336"/>
      <c r="H6" s="336"/>
      <c r="I6" s="336"/>
      <c r="J6" s="338"/>
      <c r="K6" s="355"/>
    </row>
    <row r="7" spans="1:11" x14ac:dyDescent="0.25">
      <c r="A7" s="166" t="s">
        <v>282</v>
      </c>
      <c r="B7" s="343"/>
      <c r="C7" s="359"/>
      <c r="D7" s="186"/>
      <c r="E7" s="336"/>
      <c r="F7" s="336"/>
      <c r="G7" s="336"/>
      <c r="H7" s="336"/>
      <c r="I7" s="336"/>
      <c r="J7" s="338"/>
      <c r="K7" s="355"/>
    </row>
    <row r="8" spans="1:11" x14ac:dyDescent="0.25">
      <c r="A8" s="373" t="s">
        <v>259</v>
      </c>
      <c r="B8" s="343"/>
      <c r="C8" s="369">
        <v>0</v>
      </c>
      <c r="D8" s="621">
        <f>SUM(D9:D15)</f>
        <v>62840000</v>
      </c>
      <c r="E8" s="622">
        <v>0</v>
      </c>
      <c r="F8" s="622">
        <f>SUM(F9:F15)</f>
        <v>8349645.7999999998</v>
      </c>
      <c r="G8" s="622">
        <f>SUM(G9:G15)</f>
        <v>25026843.800000001</v>
      </c>
      <c r="H8" s="622">
        <f>SUM(H9:H15)</f>
        <v>15710000</v>
      </c>
      <c r="I8" s="622">
        <f>SUM(I9:I15)</f>
        <v>9316843.8000000007</v>
      </c>
      <c r="J8" s="623">
        <f>IF(I8=0,"",I8/H8)</f>
        <v>0.59305180140038194</v>
      </c>
      <c r="K8" s="624">
        <f>SUM(K9:K15)</f>
        <v>62840000</v>
      </c>
    </row>
    <row r="9" spans="1:11" x14ac:dyDescent="0.25">
      <c r="A9" s="356" t="s">
        <v>260</v>
      </c>
      <c r="B9" s="343"/>
      <c r="C9" s="334">
        <v>0</v>
      </c>
      <c r="D9" s="673">
        <v>59830000</v>
      </c>
      <c r="E9" s="365">
        <v>0</v>
      </c>
      <c r="F9" s="672">
        <v>8309667</v>
      </c>
      <c r="G9" s="672">
        <f>F9+16619333</f>
        <v>24929000</v>
      </c>
      <c r="H9" s="365">
        <f>+D9/12*3</f>
        <v>14957500</v>
      </c>
      <c r="I9" s="323">
        <f t="shared" ref="I9:I15" si="0">G9-H9</f>
        <v>9971500</v>
      </c>
      <c r="J9" s="367">
        <f t="shared" ref="J9:J15" si="1">IF(I9=0,"",I9/H9)</f>
        <v>0.66665552398462313</v>
      </c>
      <c r="K9" s="333">
        <f>D9</f>
        <v>59830000</v>
      </c>
    </row>
    <row r="10" spans="1:11" x14ac:dyDescent="0.25">
      <c r="A10" s="356" t="s">
        <v>261</v>
      </c>
      <c r="B10" s="343"/>
      <c r="C10" s="360">
        <v>0</v>
      </c>
      <c r="D10" s="671">
        <v>2010000</v>
      </c>
      <c r="E10" s="361">
        <v>0</v>
      </c>
      <c r="F10" s="415">
        <v>19406</v>
      </c>
      <c r="G10" s="361">
        <f>F10+9347+19214</f>
        <v>47967</v>
      </c>
      <c r="H10" s="361">
        <f t="shared" ref="H10:H14" si="2">+D10/12*3</f>
        <v>502500</v>
      </c>
      <c r="I10" s="336">
        <f t="shared" si="0"/>
        <v>-454533</v>
      </c>
      <c r="J10" s="338">
        <f t="shared" si="1"/>
        <v>-0.90454328358208957</v>
      </c>
      <c r="K10" s="362">
        <f t="shared" ref="K10:K15" si="3">D10</f>
        <v>2010000</v>
      </c>
    </row>
    <row r="11" spans="1:11" x14ac:dyDescent="0.25">
      <c r="A11" s="356" t="s">
        <v>262</v>
      </c>
      <c r="B11" s="343"/>
      <c r="C11" s="360">
        <v>0</v>
      </c>
      <c r="D11" s="364">
        <v>0</v>
      </c>
      <c r="E11" s="361">
        <v>0</v>
      </c>
      <c r="F11" s="415">
        <v>0</v>
      </c>
      <c r="G11" s="361">
        <f>F11</f>
        <v>0</v>
      </c>
      <c r="H11" s="361">
        <f t="shared" si="2"/>
        <v>0</v>
      </c>
      <c r="I11" s="336">
        <f t="shared" si="0"/>
        <v>0</v>
      </c>
      <c r="J11" s="338" t="str">
        <f t="shared" si="1"/>
        <v/>
      </c>
      <c r="K11" s="362">
        <f t="shared" si="3"/>
        <v>0</v>
      </c>
    </row>
    <row r="12" spans="1:11" x14ac:dyDescent="0.25">
      <c r="A12" s="356" t="s">
        <v>263</v>
      </c>
      <c r="B12" s="343"/>
      <c r="C12" s="360">
        <v>0</v>
      </c>
      <c r="D12" s="364">
        <v>0</v>
      </c>
      <c r="E12" s="361">
        <v>0</v>
      </c>
      <c r="F12" s="415">
        <v>0</v>
      </c>
      <c r="G12" s="361">
        <v>0</v>
      </c>
      <c r="H12" s="361">
        <f t="shared" si="2"/>
        <v>0</v>
      </c>
      <c r="I12" s="336">
        <f t="shared" si="0"/>
        <v>0</v>
      </c>
      <c r="J12" s="338" t="str">
        <f t="shared" si="1"/>
        <v/>
      </c>
      <c r="K12" s="362">
        <f t="shared" si="3"/>
        <v>0</v>
      </c>
    </row>
    <row r="13" spans="1:11" x14ac:dyDescent="0.25">
      <c r="A13" s="356" t="s">
        <v>264</v>
      </c>
      <c r="B13" s="343"/>
      <c r="C13" s="360">
        <v>0</v>
      </c>
      <c r="D13" s="671">
        <v>1000000</v>
      </c>
      <c r="E13" s="361">
        <v>0</v>
      </c>
      <c r="F13" s="670">
        <v>20572.8</v>
      </c>
      <c r="G13" s="361">
        <f>F13+14098+15206</f>
        <v>49876.800000000003</v>
      </c>
      <c r="H13" s="361">
        <f t="shared" si="2"/>
        <v>250000</v>
      </c>
      <c r="I13" s="336">
        <f t="shared" si="0"/>
        <v>-200123.2</v>
      </c>
      <c r="J13" s="338">
        <f t="shared" si="1"/>
        <v>-0.8004928</v>
      </c>
      <c r="K13" s="362">
        <f t="shared" si="3"/>
        <v>1000000</v>
      </c>
    </row>
    <row r="14" spans="1:11" x14ac:dyDescent="0.25">
      <c r="A14" s="356">
        <v>0</v>
      </c>
      <c r="B14" s="343"/>
      <c r="C14" s="360">
        <v>0</v>
      </c>
      <c r="D14" s="364">
        <v>0</v>
      </c>
      <c r="E14" s="361">
        <v>0</v>
      </c>
      <c r="F14" s="415">
        <v>0</v>
      </c>
      <c r="G14" s="361">
        <v>0</v>
      </c>
      <c r="H14" s="361">
        <f t="shared" si="2"/>
        <v>0</v>
      </c>
      <c r="I14" s="336">
        <f t="shared" si="0"/>
        <v>0</v>
      </c>
      <c r="J14" s="338" t="str">
        <f t="shared" si="1"/>
        <v/>
      </c>
      <c r="K14" s="362">
        <f t="shared" si="3"/>
        <v>0</v>
      </c>
    </row>
    <row r="15" spans="1:11" x14ac:dyDescent="0.25">
      <c r="A15" s="356" t="s">
        <v>265</v>
      </c>
      <c r="B15" s="343"/>
      <c r="C15" s="360">
        <v>0</v>
      </c>
      <c r="D15" s="322">
        <v>0</v>
      </c>
      <c r="E15" s="361">
        <v>0</v>
      </c>
      <c r="F15" s="361">
        <v>0</v>
      </c>
      <c r="G15" s="361">
        <f>F15</f>
        <v>0</v>
      </c>
      <c r="H15" s="361">
        <f t="shared" ref="H15" si="4">+D15*9/12</f>
        <v>0</v>
      </c>
      <c r="I15" s="336">
        <f t="shared" si="0"/>
        <v>0</v>
      </c>
      <c r="J15" s="338" t="str">
        <f t="shared" si="1"/>
        <v/>
      </c>
      <c r="K15" s="331">
        <f t="shared" si="3"/>
        <v>0</v>
      </c>
    </row>
    <row r="16" spans="1:11" x14ac:dyDescent="0.25">
      <c r="A16" s="357" t="s">
        <v>266</v>
      </c>
      <c r="B16" s="343"/>
      <c r="C16" s="332">
        <v>0</v>
      </c>
      <c r="D16" s="321">
        <v>0</v>
      </c>
      <c r="E16" s="371">
        <v>0</v>
      </c>
      <c r="F16" s="371">
        <v>0</v>
      </c>
      <c r="G16" s="371">
        <v>0</v>
      </c>
      <c r="H16" s="371">
        <v>0</v>
      </c>
      <c r="I16" s="371">
        <v>0</v>
      </c>
      <c r="J16" s="368" t="s">
        <v>16</v>
      </c>
      <c r="K16" s="320">
        <v>0</v>
      </c>
    </row>
    <row r="17" spans="1:11" x14ac:dyDescent="0.25">
      <c r="A17" s="356" t="s">
        <v>267</v>
      </c>
      <c r="B17" s="343"/>
      <c r="C17" s="334">
        <v>0</v>
      </c>
      <c r="D17" s="366">
        <v>0</v>
      </c>
      <c r="E17" s="365">
        <v>0</v>
      </c>
      <c r="F17" s="365">
        <v>0</v>
      </c>
      <c r="G17" s="365">
        <v>0</v>
      </c>
      <c r="H17" s="365">
        <v>0</v>
      </c>
      <c r="I17" s="323">
        <v>0</v>
      </c>
      <c r="J17" s="367" t="s">
        <v>16</v>
      </c>
      <c r="K17" s="333">
        <v>0</v>
      </c>
    </row>
    <row r="18" spans="1:11" x14ac:dyDescent="0.25">
      <c r="A18" s="356"/>
      <c r="B18" s="343"/>
      <c r="C18" s="360">
        <v>0</v>
      </c>
      <c r="D18" s="364">
        <v>0</v>
      </c>
      <c r="E18" s="361">
        <v>0</v>
      </c>
      <c r="F18" s="361">
        <v>0</v>
      </c>
      <c r="G18" s="361">
        <v>0</v>
      </c>
      <c r="H18" s="361">
        <v>0</v>
      </c>
      <c r="I18" s="336">
        <v>0</v>
      </c>
      <c r="J18" s="338" t="s">
        <v>16</v>
      </c>
      <c r="K18" s="362">
        <v>0</v>
      </c>
    </row>
    <row r="19" spans="1:11" x14ac:dyDescent="0.25">
      <c r="A19" s="356"/>
      <c r="B19" s="343"/>
      <c r="C19" s="360">
        <v>0</v>
      </c>
      <c r="D19" s="364">
        <v>0</v>
      </c>
      <c r="E19" s="361">
        <v>0</v>
      </c>
      <c r="F19" s="361">
        <v>0</v>
      </c>
      <c r="G19" s="361">
        <v>0</v>
      </c>
      <c r="H19" s="361">
        <v>0</v>
      </c>
      <c r="I19" s="336">
        <v>0</v>
      </c>
      <c r="J19" s="338" t="s">
        <v>16</v>
      </c>
      <c r="K19" s="362">
        <v>0</v>
      </c>
    </row>
    <row r="20" spans="1:11" x14ac:dyDescent="0.25">
      <c r="A20" s="356"/>
      <c r="B20" s="343"/>
      <c r="C20" s="360">
        <v>0</v>
      </c>
      <c r="D20" s="364">
        <v>0</v>
      </c>
      <c r="E20" s="361">
        <v>0</v>
      </c>
      <c r="F20" s="361">
        <v>0</v>
      </c>
      <c r="G20" s="361">
        <v>0</v>
      </c>
      <c r="H20" s="361">
        <v>0</v>
      </c>
      <c r="I20" s="336">
        <v>0</v>
      </c>
      <c r="J20" s="338" t="s">
        <v>16</v>
      </c>
      <c r="K20" s="362">
        <v>0</v>
      </c>
    </row>
    <row r="21" spans="1:11" x14ac:dyDescent="0.25">
      <c r="A21" s="356" t="s">
        <v>268</v>
      </c>
      <c r="B21" s="343"/>
      <c r="C21" s="360">
        <v>0</v>
      </c>
      <c r="D21" s="364">
        <v>0</v>
      </c>
      <c r="E21" s="361">
        <v>0</v>
      </c>
      <c r="F21" s="361">
        <v>0</v>
      </c>
      <c r="G21" s="361">
        <v>0</v>
      </c>
      <c r="H21" s="361">
        <v>0</v>
      </c>
      <c r="I21" s="336">
        <v>0</v>
      </c>
      <c r="J21" s="338" t="s">
        <v>16</v>
      </c>
      <c r="K21" s="362">
        <v>0</v>
      </c>
    </row>
    <row r="22" spans="1:11" x14ac:dyDescent="0.25">
      <c r="A22" s="357" t="s">
        <v>269</v>
      </c>
      <c r="B22" s="343"/>
      <c r="C22" s="332">
        <v>0</v>
      </c>
      <c r="D22" s="321">
        <v>0</v>
      </c>
      <c r="E22" s="371">
        <v>0</v>
      </c>
      <c r="F22" s="371">
        <v>0</v>
      </c>
      <c r="G22" s="371">
        <v>0</v>
      </c>
      <c r="H22" s="371">
        <v>0</v>
      </c>
      <c r="I22" s="323">
        <v>0</v>
      </c>
      <c r="J22" s="367" t="s">
        <v>16</v>
      </c>
      <c r="K22" s="320">
        <v>0</v>
      </c>
    </row>
    <row r="23" spans="1:11" x14ac:dyDescent="0.25">
      <c r="A23" s="357"/>
      <c r="B23" s="343"/>
      <c r="C23" s="330">
        <v>0</v>
      </c>
      <c r="D23" s="168">
        <v>0</v>
      </c>
      <c r="E23" s="329">
        <v>0</v>
      </c>
      <c r="F23" s="329">
        <v>0</v>
      </c>
      <c r="G23" s="329">
        <v>0</v>
      </c>
      <c r="H23" s="329">
        <v>0</v>
      </c>
      <c r="I23" s="323">
        <v>0</v>
      </c>
      <c r="J23" s="367" t="s">
        <v>16</v>
      </c>
      <c r="K23" s="170">
        <v>0</v>
      </c>
    </row>
    <row r="24" spans="1:11" x14ac:dyDescent="0.25">
      <c r="A24" s="358" t="s">
        <v>270</v>
      </c>
      <c r="B24" s="343"/>
      <c r="C24" s="360">
        <v>0</v>
      </c>
      <c r="D24" s="364">
        <v>0</v>
      </c>
      <c r="E24" s="361">
        <v>0</v>
      </c>
      <c r="F24" s="361">
        <v>0</v>
      </c>
      <c r="G24" s="361">
        <v>0</v>
      </c>
      <c r="H24" s="361">
        <v>0</v>
      </c>
      <c r="I24" s="336">
        <v>0</v>
      </c>
      <c r="J24" s="338" t="s">
        <v>16</v>
      </c>
      <c r="K24" s="326">
        <v>0</v>
      </c>
    </row>
    <row r="25" spans="1:11" x14ac:dyDescent="0.25">
      <c r="A25" s="357" t="s">
        <v>271</v>
      </c>
      <c r="B25" s="343"/>
      <c r="C25" s="332">
        <v>0</v>
      </c>
      <c r="D25" s="321">
        <v>0</v>
      </c>
      <c r="E25" s="371">
        <v>0</v>
      </c>
      <c r="F25" s="371">
        <v>0</v>
      </c>
      <c r="G25" s="371">
        <v>0</v>
      </c>
      <c r="H25" s="371">
        <v>0</v>
      </c>
      <c r="I25" s="323">
        <v>0</v>
      </c>
      <c r="J25" s="367" t="s">
        <v>16</v>
      </c>
      <c r="K25" s="320">
        <v>0</v>
      </c>
    </row>
    <row r="26" spans="1:11" x14ac:dyDescent="0.25">
      <c r="A26" s="357"/>
      <c r="B26" s="343"/>
      <c r="C26" s="330">
        <v>0</v>
      </c>
      <c r="D26" s="168">
        <v>0</v>
      </c>
      <c r="E26" s="329">
        <v>0</v>
      </c>
      <c r="F26" s="329">
        <v>0</v>
      </c>
      <c r="G26" s="329">
        <v>0</v>
      </c>
      <c r="H26" s="329">
        <v>0</v>
      </c>
      <c r="I26" s="323">
        <v>0</v>
      </c>
      <c r="J26" s="367" t="s">
        <v>16</v>
      </c>
      <c r="K26" s="170">
        <v>0</v>
      </c>
    </row>
    <row r="27" spans="1:11" x14ac:dyDescent="0.25">
      <c r="A27" s="358" t="s">
        <v>270</v>
      </c>
      <c r="B27" s="343"/>
      <c r="C27" s="360">
        <v>0</v>
      </c>
      <c r="D27" s="364">
        <v>0</v>
      </c>
      <c r="E27" s="361">
        <v>0</v>
      </c>
      <c r="F27" s="361">
        <v>0</v>
      </c>
      <c r="G27" s="361">
        <v>0</v>
      </c>
      <c r="H27" s="361">
        <v>0</v>
      </c>
      <c r="I27" s="336">
        <v>0</v>
      </c>
      <c r="J27" s="338" t="s">
        <v>16</v>
      </c>
      <c r="K27" s="327">
        <v>0</v>
      </c>
    </row>
    <row r="28" spans="1:11" x14ac:dyDescent="0.25">
      <c r="A28" s="264" t="s">
        <v>283</v>
      </c>
      <c r="B28" s="191"/>
      <c r="C28" s="372">
        <v>0</v>
      </c>
      <c r="D28" s="625">
        <f>D8+D16+D22+D25</f>
        <v>62840000</v>
      </c>
      <c r="E28" s="626">
        <v>0</v>
      </c>
      <c r="F28" s="626">
        <f>F8+F16+F22+F25</f>
        <v>8349645.7999999998</v>
      </c>
      <c r="G28" s="626">
        <f>G8+G16+G22+G25</f>
        <v>25026843.800000001</v>
      </c>
      <c r="H28" s="626">
        <f>H8+H16+H22+H25</f>
        <v>15710000</v>
      </c>
      <c r="I28" s="626">
        <f>I8+I16+I22+I25</f>
        <v>9316843.8000000007</v>
      </c>
      <c r="J28" s="627">
        <f>IF(I28=0,"",I28/H28)</f>
        <v>0.59305180140038194</v>
      </c>
      <c r="K28" s="628">
        <f>K8+K16+K22+K25</f>
        <v>62840000</v>
      </c>
    </row>
    <row r="29" spans="1:11" x14ac:dyDescent="0.25">
      <c r="A29" s="337"/>
      <c r="B29" s="343"/>
      <c r="C29" s="359"/>
      <c r="D29" s="186"/>
      <c r="E29" s="336"/>
      <c r="F29" s="336"/>
      <c r="G29" s="336"/>
      <c r="H29" s="336"/>
      <c r="I29" s="336"/>
      <c r="J29" s="338"/>
      <c r="K29" s="355"/>
    </row>
    <row r="30" spans="1:11" x14ac:dyDescent="0.25">
      <c r="A30" s="166" t="s">
        <v>284</v>
      </c>
      <c r="B30" s="343"/>
      <c r="C30" s="359"/>
      <c r="D30" s="186"/>
      <c r="E30" s="336"/>
      <c r="F30" s="336"/>
      <c r="G30" s="336"/>
      <c r="H30" s="336"/>
      <c r="I30" s="336"/>
      <c r="J30" s="338"/>
      <c r="K30" s="355"/>
    </row>
    <row r="31" spans="1:11" x14ac:dyDescent="0.25">
      <c r="A31" s="357" t="s">
        <v>259</v>
      </c>
      <c r="B31" s="343"/>
      <c r="C31" s="359">
        <v>0</v>
      </c>
      <c r="D31" s="370">
        <f>SUM(D32:D37)</f>
        <v>47530000</v>
      </c>
      <c r="E31" s="406">
        <v>0</v>
      </c>
      <c r="F31" s="406">
        <f>SUM(F32:F37)</f>
        <v>548143</v>
      </c>
      <c r="G31" s="406">
        <f>SUM(G32:G37)</f>
        <v>4672023</v>
      </c>
      <c r="H31" s="406">
        <f>SUM(H32:H37)</f>
        <v>11882500</v>
      </c>
      <c r="I31" s="406">
        <f>SUM(I32:I37)</f>
        <v>-7210477</v>
      </c>
      <c r="J31" s="354">
        <f>IF(I31=0,"",I31/H31)</f>
        <v>-0.60681481169787499</v>
      </c>
      <c r="K31" s="416">
        <f>SUM(K32:K37)</f>
        <v>47530000</v>
      </c>
    </row>
    <row r="32" spans="1:11" x14ac:dyDescent="0.25">
      <c r="A32" s="356" t="s">
        <v>274</v>
      </c>
      <c r="B32" s="343"/>
      <c r="C32" s="361">
        <v>0</v>
      </c>
      <c r="D32" s="673">
        <v>20090000</v>
      </c>
      <c r="E32" s="361">
        <v>0</v>
      </c>
      <c r="F32" s="361">
        <v>548143</v>
      </c>
      <c r="G32" s="361">
        <f>F32+1763053+2360827</f>
        <v>4672023</v>
      </c>
      <c r="H32" s="361">
        <f t="shared" ref="H32:H33" si="5">+D32/12*3</f>
        <v>5022500</v>
      </c>
      <c r="I32" s="323">
        <f t="shared" ref="I32:I38" si="6">G32-H32</f>
        <v>-350477</v>
      </c>
      <c r="J32" s="367">
        <f t="shared" ref="J32:J38" si="7">IF(I32=0,"",I32/H32)</f>
        <v>-6.9781383773021399E-2</v>
      </c>
      <c r="K32" s="333">
        <f>D32</f>
        <v>20090000</v>
      </c>
    </row>
    <row r="33" spans="1:11" x14ac:dyDescent="0.25">
      <c r="A33" s="356" t="s">
        <v>275</v>
      </c>
      <c r="B33" s="343"/>
      <c r="C33" s="361">
        <v>0</v>
      </c>
      <c r="D33" s="671">
        <v>27440000</v>
      </c>
      <c r="E33" s="361">
        <v>0</v>
      </c>
      <c r="F33" s="361">
        <v>0</v>
      </c>
      <c r="G33" s="361">
        <f>F33</f>
        <v>0</v>
      </c>
      <c r="H33" s="361">
        <f t="shared" si="5"/>
        <v>6860000</v>
      </c>
      <c r="I33" s="336">
        <f t="shared" si="6"/>
        <v>-6860000</v>
      </c>
      <c r="J33" s="338">
        <f t="shared" si="7"/>
        <v>-1</v>
      </c>
      <c r="K33" s="362">
        <f>D33</f>
        <v>27440000</v>
      </c>
    </row>
    <row r="34" spans="1:11" x14ac:dyDescent="0.25">
      <c r="A34" s="356" t="s">
        <v>276</v>
      </c>
      <c r="B34" s="343"/>
      <c r="C34" s="361">
        <v>0</v>
      </c>
      <c r="D34" s="415">
        <v>0</v>
      </c>
      <c r="E34" s="361">
        <v>0</v>
      </c>
      <c r="F34" s="361">
        <v>0</v>
      </c>
      <c r="G34" s="361">
        <v>0</v>
      </c>
      <c r="H34" s="361">
        <f t="shared" ref="H34:H37" si="8">+D34*9/12</f>
        <v>0</v>
      </c>
      <c r="I34" s="336">
        <f t="shared" si="6"/>
        <v>0</v>
      </c>
      <c r="J34" s="338" t="str">
        <f t="shared" si="7"/>
        <v/>
      </c>
      <c r="K34" s="362">
        <f>D34</f>
        <v>0</v>
      </c>
    </row>
    <row r="35" spans="1:11" x14ac:dyDescent="0.25">
      <c r="A35" s="356" t="s">
        <v>359</v>
      </c>
      <c r="B35" s="343"/>
      <c r="C35" s="361">
        <v>0</v>
      </c>
      <c r="D35" s="361">
        <v>0</v>
      </c>
      <c r="E35" s="361">
        <v>0</v>
      </c>
      <c r="F35" s="361">
        <v>0</v>
      </c>
      <c r="G35" s="361">
        <v>0</v>
      </c>
      <c r="H35" s="361">
        <f t="shared" si="8"/>
        <v>0</v>
      </c>
      <c r="I35" s="336">
        <f t="shared" si="6"/>
        <v>0</v>
      </c>
      <c r="J35" s="338" t="str">
        <f t="shared" si="7"/>
        <v/>
      </c>
      <c r="K35" s="362">
        <f>D35</f>
        <v>0</v>
      </c>
    </row>
    <row r="36" spans="1:11" x14ac:dyDescent="0.25">
      <c r="A36" s="356"/>
      <c r="B36" s="343"/>
      <c r="C36" s="361">
        <v>0</v>
      </c>
      <c r="D36" s="361">
        <v>0</v>
      </c>
      <c r="E36" s="361">
        <v>0</v>
      </c>
      <c r="F36" s="361">
        <v>0</v>
      </c>
      <c r="G36" s="361">
        <v>0</v>
      </c>
      <c r="H36" s="361">
        <f t="shared" si="8"/>
        <v>0</v>
      </c>
      <c r="I36" s="336">
        <f t="shared" si="6"/>
        <v>0</v>
      </c>
      <c r="J36" s="338" t="str">
        <f t="shared" si="7"/>
        <v/>
      </c>
      <c r="K36" s="362">
        <v>0</v>
      </c>
    </row>
    <row r="37" spans="1:11" x14ac:dyDescent="0.25">
      <c r="A37" s="356" t="s">
        <v>285</v>
      </c>
      <c r="B37" s="343"/>
      <c r="C37" s="361">
        <v>0</v>
      </c>
      <c r="D37" s="361">
        <v>0</v>
      </c>
      <c r="E37" s="361">
        <v>0</v>
      </c>
      <c r="F37" s="361">
        <v>0</v>
      </c>
      <c r="G37" s="361">
        <v>0</v>
      </c>
      <c r="H37" s="361">
        <f t="shared" si="8"/>
        <v>0</v>
      </c>
      <c r="I37" s="336">
        <f t="shared" si="6"/>
        <v>0</v>
      </c>
      <c r="J37" s="338" t="str">
        <f t="shared" si="7"/>
        <v/>
      </c>
      <c r="K37" s="331">
        <v>0</v>
      </c>
    </row>
    <row r="38" spans="1:11" x14ac:dyDescent="0.25">
      <c r="A38" s="357" t="s">
        <v>266</v>
      </c>
      <c r="B38" s="343"/>
      <c r="C38" s="332">
        <v>0</v>
      </c>
      <c r="D38" s="321">
        <f>SUM(D39:D40)</f>
        <v>0</v>
      </c>
      <c r="E38" s="371">
        <f>SUM(E39:E40)</f>
        <v>0</v>
      </c>
      <c r="F38" s="371">
        <f>SUM(F39:F40)</f>
        <v>0</v>
      </c>
      <c r="G38" s="371">
        <f>SUM(G39:G40)</f>
        <v>0</v>
      </c>
      <c r="H38" s="371">
        <f>SUM(H39:H40)</f>
        <v>0</v>
      </c>
      <c r="I38" s="323">
        <f t="shared" si="6"/>
        <v>0</v>
      </c>
      <c r="J38" s="367" t="str">
        <f t="shared" si="7"/>
        <v/>
      </c>
      <c r="K38" s="320">
        <f>SUM(K39:K40)</f>
        <v>0</v>
      </c>
    </row>
    <row r="39" spans="1:11" x14ac:dyDescent="0.25">
      <c r="A39" s="374" t="s">
        <v>277</v>
      </c>
      <c r="B39" s="343"/>
      <c r="C39" s="330">
        <v>0</v>
      </c>
      <c r="D39" s="366">
        <v>0</v>
      </c>
      <c r="E39" s="329">
        <v>0</v>
      </c>
      <c r="F39" s="329">
        <v>0</v>
      </c>
      <c r="G39" s="329">
        <v>0</v>
      </c>
      <c r="H39" s="361">
        <v>0</v>
      </c>
      <c r="I39" s="323">
        <v>0</v>
      </c>
      <c r="J39" s="367"/>
      <c r="K39" s="333">
        <v>0</v>
      </c>
    </row>
    <row r="40" spans="1:11" x14ac:dyDescent="0.25">
      <c r="A40" s="356" t="s">
        <v>278</v>
      </c>
      <c r="B40" s="343"/>
      <c r="C40" s="360">
        <v>0</v>
      </c>
      <c r="D40" s="364">
        <v>0</v>
      </c>
      <c r="E40" s="361">
        <v>0</v>
      </c>
      <c r="F40" s="361">
        <v>0</v>
      </c>
      <c r="G40" s="361">
        <v>0</v>
      </c>
      <c r="H40" s="361">
        <v>0</v>
      </c>
      <c r="I40" s="336">
        <v>0</v>
      </c>
      <c r="J40" s="338" t="s">
        <v>16</v>
      </c>
      <c r="K40" s="362">
        <v>0</v>
      </c>
    </row>
    <row r="41" spans="1:11" x14ac:dyDescent="0.25">
      <c r="A41" s="357" t="s">
        <v>269</v>
      </c>
      <c r="B41" s="343"/>
      <c r="C41" s="332">
        <v>0</v>
      </c>
      <c r="D41" s="321">
        <v>0</v>
      </c>
      <c r="E41" s="371">
        <v>0</v>
      </c>
      <c r="F41" s="371">
        <v>0</v>
      </c>
      <c r="G41" s="371">
        <v>0</v>
      </c>
      <c r="H41" s="371">
        <v>0</v>
      </c>
      <c r="I41" s="323">
        <v>0</v>
      </c>
      <c r="J41" s="367" t="s">
        <v>16</v>
      </c>
      <c r="K41" s="320">
        <v>0</v>
      </c>
    </row>
    <row r="42" spans="1:11" x14ac:dyDescent="0.25">
      <c r="A42" s="357"/>
      <c r="B42" s="343"/>
      <c r="C42" s="330">
        <v>0</v>
      </c>
      <c r="D42" s="168">
        <v>0</v>
      </c>
      <c r="E42" s="329">
        <v>0</v>
      </c>
      <c r="F42" s="329">
        <v>0</v>
      </c>
      <c r="G42" s="329">
        <v>0</v>
      </c>
      <c r="H42" s="361">
        <v>0</v>
      </c>
      <c r="I42" s="323">
        <v>0</v>
      </c>
      <c r="J42" s="367" t="s">
        <v>16</v>
      </c>
      <c r="K42" s="333">
        <v>0</v>
      </c>
    </row>
    <row r="43" spans="1:11" x14ac:dyDescent="0.25">
      <c r="A43" s="358">
        <v>0</v>
      </c>
      <c r="B43" s="343"/>
      <c r="C43" s="360">
        <v>0</v>
      </c>
      <c r="D43" s="364">
        <v>0</v>
      </c>
      <c r="E43" s="361">
        <v>0</v>
      </c>
      <c r="F43" s="361">
        <v>0</v>
      </c>
      <c r="G43" s="361">
        <v>0</v>
      </c>
      <c r="H43" s="361">
        <v>0</v>
      </c>
      <c r="I43" s="336">
        <v>0</v>
      </c>
      <c r="J43" s="338" t="s">
        <v>16</v>
      </c>
      <c r="K43" s="362">
        <v>0</v>
      </c>
    </row>
    <row r="44" spans="1:11" x14ac:dyDescent="0.25">
      <c r="A44" s="357" t="s">
        <v>271</v>
      </c>
      <c r="B44" s="343"/>
      <c r="C44" s="332">
        <v>0</v>
      </c>
      <c r="D44" s="321">
        <v>0</v>
      </c>
      <c r="E44" s="371">
        <v>0</v>
      </c>
      <c r="F44" s="371">
        <f>SUM(F45:F46)</f>
        <v>0</v>
      </c>
      <c r="G44" s="371">
        <v>0</v>
      </c>
      <c r="H44" s="371">
        <v>0</v>
      </c>
      <c r="I44" s="323">
        <v>0</v>
      </c>
      <c r="J44" s="367"/>
      <c r="K44" s="320">
        <v>0</v>
      </c>
    </row>
    <row r="45" spans="1:11" x14ac:dyDescent="0.25">
      <c r="A45" s="357"/>
      <c r="B45" s="343"/>
      <c r="C45" s="330">
        <v>0</v>
      </c>
      <c r="D45" s="168">
        <v>0</v>
      </c>
      <c r="E45" s="329">
        <v>0</v>
      </c>
      <c r="F45" s="329">
        <v>0</v>
      </c>
      <c r="G45" s="329">
        <v>0</v>
      </c>
      <c r="H45" s="361">
        <v>0</v>
      </c>
      <c r="I45" s="323">
        <v>0</v>
      </c>
      <c r="J45" s="367"/>
      <c r="K45" s="333">
        <v>0</v>
      </c>
    </row>
    <row r="46" spans="1:11" x14ac:dyDescent="0.25">
      <c r="A46" s="358">
        <v>0</v>
      </c>
      <c r="B46" s="343"/>
      <c r="C46" s="360">
        <v>0</v>
      </c>
      <c r="D46" s="364">
        <v>0</v>
      </c>
      <c r="E46" s="361">
        <v>0</v>
      </c>
      <c r="F46" s="361">
        <v>0</v>
      </c>
      <c r="G46" s="361">
        <v>0</v>
      </c>
      <c r="H46" s="361">
        <v>0</v>
      </c>
      <c r="I46" s="336">
        <v>0</v>
      </c>
      <c r="J46" s="338" t="s">
        <v>16</v>
      </c>
      <c r="K46" s="362">
        <v>0</v>
      </c>
    </row>
    <row r="47" spans="1:11" x14ac:dyDescent="0.25">
      <c r="A47" s="171" t="s">
        <v>286</v>
      </c>
      <c r="B47" s="191"/>
      <c r="C47" s="372">
        <v>0</v>
      </c>
      <c r="D47" s="625">
        <f>D31+D38+D41+D44</f>
        <v>47530000</v>
      </c>
      <c r="E47" s="626">
        <v>0</v>
      </c>
      <c r="F47" s="626">
        <f>F31+F38+F41+F44</f>
        <v>548143</v>
      </c>
      <c r="G47" s="626">
        <f>G31+G38+G41+G44</f>
        <v>4672023</v>
      </c>
      <c r="H47" s="626">
        <f>H31+H38+H41+H44</f>
        <v>11882500</v>
      </c>
      <c r="I47" s="626">
        <f>I31+I38+I41+I44</f>
        <v>-7210477</v>
      </c>
      <c r="J47" s="627">
        <f>IF(I47=0,"",I47/H47)</f>
        <v>-0.60681481169787499</v>
      </c>
      <c r="K47" s="628">
        <f>K31+K38+K41+K44</f>
        <v>47530000</v>
      </c>
    </row>
    <row r="48" spans="1:11" x14ac:dyDescent="0.25">
      <c r="A48" s="325"/>
      <c r="B48" s="343"/>
      <c r="C48" s="359"/>
      <c r="D48" s="186"/>
      <c r="E48" s="336"/>
      <c r="F48" s="336"/>
      <c r="G48" s="336"/>
      <c r="H48" s="336"/>
      <c r="I48" s="336"/>
      <c r="J48" s="338"/>
      <c r="K48" s="355"/>
    </row>
    <row r="49" spans="1:11" x14ac:dyDescent="0.25">
      <c r="A49" s="26" t="s">
        <v>287</v>
      </c>
      <c r="B49" s="328"/>
      <c r="C49" s="363">
        <v>0</v>
      </c>
      <c r="D49" s="629">
        <f t="shared" ref="D49:K49" si="9">D28+D47</f>
        <v>110370000</v>
      </c>
      <c r="E49" s="630">
        <f t="shared" si="9"/>
        <v>0</v>
      </c>
      <c r="F49" s="630">
        <f t="shared" si="9"/>
        <v>8897788.8000000007</v>
      </c>
      <c r="G49" s="630">
        <f t="shared" si="9"/>
        <v>29698866.800000001</v>
      </c>
      <c r="H49" s="630">
        <f t="shared" si="9"/>
        <v>27592500</v>
      </c>
      <c r="I49" s="630">
        <f t="shared" si="9"/>
        <v>2106366.8000000007</v>
      </c>
      <c r="J49" s="631">
        <f>IF(I49=0,"",I49/H49)</f>
        <v>7.6338381806650382E-2</v>
      </c>
      <c r="K49" s="632">
        <f t="shared" si="9"/>
        <v>110370000</v>
      </c>
    </row>
  </sheetData>
  <mergeCells count="3">
    <mergeCell ref="A2:A3"/>
    <mergeCell ref="B2:B3"/>
    <mergeCell ref="A1:K1"/>
  </mergeCells>
  <pageMargins left="0.7" right="0.7" top="0.75" bottom="0.75" header="0.3" footer="0.3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L20"/>
  <sheetViews>
    <sheetView workbookViewId="0">
      <selection activeCell="J6" sqref="J6"/>
    </sheetView>
  </sheetViews>
  <sheetFormatPr defaultRowHeight="15" x14ac:dyDescent="0.25"/>
  <cols>
    <col min="1" max="1" width="27.5703125" bestFit="1" customWidth="1"/>
    <col min="6" max="6" width="5.85546875" bestFit="1" customWidth="1"/>
  </cols>
  <sheetData>
    <row r="1" spans="1:12" x14ac:dyDescent="0.25">
      <c r="A1" s="833" t="s">
        <v>418</v>
      </c>
      <c r="B1" s="833"/>
      <c r="C1" s="833"/>
      <c r="D1" s="833"/>
      <c r="E1" s="833"/>
      <c r="F1" s="833"/>
      <c r="G1" s="833"/>
      <c r="H1" s="833"/>
      <c r="I1" s="833"/>
      <c r="J1" s="833"/>
    </row>
    <row r="2" spans="1:12" x14ac:dyDescent="0.25">
      <c r="A2" s="826" t="s">
        <v>288</v>
      </c>
      <c r="B2" s="382" t="s">
        <v>363</v>
      </c>
      <c r="C2" s="860" t="s">
        <v>362</v>
      </c>
      <c r="D2" s="861"/>
      <c r="E2" s="861"/>
      <c r="F2" s="861"/>
      <c r="G2" s="861"/>
      <c r="H2" s="861"/>
      <c r="I2" s="861"/>
      <c r="J2" s="862"/>
    </row>
    <row r="3" spans="1:12" ht="38.25" x14ac:dyDescent="0.25">
      <c r="A3" s="827"/>
      <c r="B3" s="385" t="s">
        <v>3</v>
      </c>
      <c r="C3" s="391" t="s">
        <v>4</v>
      </c>
      <c r="D3" s="383" t="s">
        <v>5</v>
      </c>
      <c r="E3" s="383" t="s">
        <v>6</v>
      </c>
      <c r="F3" s="383" t="s">
        <v>7</v>
      </c>
      <c r="G3" s="383" t="s">
        <v>8</v>
      </c>
      <c r="H3" s="383" t="s">
        <v>9</v>
      </c>
      <c r="I3" s="387" t="s">
        <v>9</v>
      </c>
      <c r="J3" s="386" t="s">
        <v>289</v>
      </c>
    </row>
    <row r="4" spans="1:12" x14ac:dyDescent="0.25">
      <c r="A4" s="394" t="s">
        <v>11</v>
      </c>
      <c r="B4" s="395"/>
      <c r="C4" s="400"/>
      <c r="D4" s="396"/>
      <c r="E4" s="397"/>
      <c r="F4" s="397"/>
      <c r="G4" s="397"/>
      <c r="H4" s="397"/>
      <c r="I4" s="398" t="s">
        <v>12</v>
      </c>
      <c r="J4" s="399"/>
    </row>
    <row r="5" spans="1:12" x14ac:dyDescent="0.25">
      <c r="A5" s="375" t="s">
        <v>290</v>
      </c>
      <c r="B5" s="381"/>
      <c r="C5" s="392"/>
      <c r="D5" s="377"/>
      <c r="E5" s="377"/>
      <c r="F5" s="377"/>
      <c r="G5" s="377"/>
      <c r="H5" s="377"/>
      <c r="I5" s="380"/>
      <c r="J5" s="384"/>
    </row>
    <row r="6" spans="1:12" x14ac:dyDescent="0.25">
      <c r="A6" s="376" t="s">
        <v>291</v>
      </c>
      <c r="B6" s="600">
        <v>0</v>
      </c>
      <c r="C6" s="601">
        <v>3960831.4166666665</v>
      </c>
      <c r="D6" s="602">
        <v>0</v>
      </c>
      <c r="E6" s="603">
        <v>1768200</v>
      </c>
      <c r="F6" s="402">
        <f>IF(E6&gt;0,E6,"")</f>
        <v>1768200</v>
      </c>
      <c r="G6" s="402">
        <f>IF(D6&gt;0,D6,C6)</f>
        <v>3960831.4166666665</v>
      </c>
      <c r="H6" s="377">
        <f t="shared" ref="H6:H17" si="0">IF(F6="",0,G6-F6)</f>
        <v>2192631.4166666665</v>
      </c>
      <c r="I6" s="380">
        <f t="shared" ref="I6:I17" si="1">IF(F6="","",IF(H6=0,"",H6/G6))</f>
        <v>0.55357857631616358</v>
      </c>
      <c r="J6" s="404">
        <f t="shared" ref="J6:J17" si="2">IF(F6="","",F6/$C$18)</f>
        <v>3.7201785306986375E-2</v>
      </c>
    </row>
    <row r="7" spans="1:12" x14ac:dyDescent="0.25">
      <c r="A7" s="376" t="s">
        <v>292</v>
      </c>
      <c r="B7" s="600">
        <v>0</v>
      </c>
      <c r="C7" s="601">
        <v>3960831.4166666665</v>
      </c>
      <c r="D7" s="602">
        <v>0</v>
      </c>
      <c r="E7" s="602">
        <v>3180248</v>
      </c>
      <c r="F7" s="402">
        <f>IF(E7&gt;0,E7+F6,"")</f>
        <v>4948448</v>
      </c>
      <c r="G7" s="402">
        <f>IF(D7&gt;0,D7+D6,C7+C6)</f>
        <v>7921662.833333333</v>
      </c>
      <c r="H7" s="377">
        <f t="shared" si="0"/>
        <v>2973214.833333333</v>
      </c>
      <c r="I7" s="380">
        <f t="shared" si="1"/>
        <v>0.37532711198240215</v>
      </c>
      <c r="J7" s="404">
        <f t="shared" si="2"/>
        <v>0.10411214800293299</v>
      </c>
      <c r="L7" s="765"/>
    </row>
    <row r="8" spans="1:12" x14ac:dyDescent="0.25">
      <c r="A8" s="376" t="s">
        <v>293</v>
      </c>
      <c r="B8" s="600">
        <v>0</v>
      </c>
      <c r="C8" s="601">
        <v>3960831.4166666665</v>
      </c>
      <c r="D8" s="602">
        <v>0</v>
      </c>
      <c r="E8" s="603">
        <v>2796618</v>
      </c>
      <c r="F8" s="402">
        <f t="shared" ref="F8:F17" si="3">IF(E8&gt;0,E8+F7,"")</f>
        <v>7745066</v>
      </c>
      <c r="G8" s="402">
        <f>IF(D8&gt;0,D8+G7,C8+G7)</f>
        <v>11882494.25</v>
      </c>
      <c r="H8" s="377">
        <f t="shared" si="0"/>
        <v>4137428.25</v>
      </c>
      <c r="I8" s="407">
        <f t="shared" si="1"/>
        <v>0.3481952663263439</v>
      </c>
      <c r="J8" s="773">
        <f t="shared" si="2"/>
        <v>0.16295118341841405</v>
      </c>
    </row>
    <row r="9" spans="1:12" x14ac:dyDescent="0.25">
      <c r="A9" s="376" t="s">
        <v>294</v>
      </c>
      <c r="B9" s="600">
        <v>0</v>
      </c>
      <c r="C9" s="601">
        <v>3960831.4166666665</v>
      </c>
      <c r="D9" s="602">
        <v>0</v>
      </c>
      <c r="E9" s="602">
        <v>1</v>
      </c>
      <c r="F9" s="402">
        <f t="shared" si="3"/>
        <v>7745067</v>
      </c>
      <c r="G9" s="766">
        <f t="shared" ref="G9:G17" si="4">IF(D9&gt;0,D9+G8,C9+G8)</f>
        <v>15843325.666666666</v>
      </c>
      <c r="H9" s="377">
        <f t="shared" si="0"/>
        <v>8098258.666666666</v>
      </c>
      <c r="I9" s="407">
        <f t="shared" si="1"/>
        <v>0.51114638662669665</v>
      </c>
      <c r="J9" s="404">
        <f t="shared" si="2"/>
        <v>0.16295120445776781</v>
      </c>
    </row>
    <row r="10" spans="1:12" x14ac:dyDescent="0.25">
      <c r="A10" s="376" t="s">
        <v>295</v>
      </c>
      <c r="B10" s="600">
        <v>0</v>
      </c>
      <c r="C10" s="601">
        <v>3960831.4166666665</v>
      </c>
      <c r="D10" s="602">
        <v>0</v>
      </c>
      <c r="E10" s="602">
        <v>1928709</v>
      </c>
      <c r="F10" s="402">
        <f t="shared" si="3"/>
        <v>9673776</v>
      </c>
      <c r="G10" s="402">
        <f t="shared" si="4"/>
        <v>19804157.083333332</v>
      </c>
      <c r="H10" s="377">
        <f t="shared" si="0"/>
        <v>10130381.083333332</v>
      </c>
      <c r="I10" s="407">
        <f t="shared" si="1"/>
        <v>0.51152801104869039</v>
      </c>
      <c r="J10" s="404">
        <f t="shared" si="2"/>
        <v>0.20352999539637903</v>
      </c>
      <c r="L10" s="765"/>
    </row>
    <row r="11" spans="1:12" x14ac:dyDescent="0.25">
      <c r="A11" s="376" t="s">
        <v>296</v>
      </c>
      <c r="B11" s="600">
        <v>0</v>
      </c>
      <c r="C11" s="601">
        <v>3960831.4166666665</v>
      </c>
      <c r="D11" s="602">
        <v>0</v>
      </c>
      <c r="E11" s="602">
        <v>6280575</v>
      </c>
      <c r="F11" s="402">
        <f t="shared" si="3"/>
        <v>15954351</v>
      </c>
      <c r="G11" s="402">
        <f t="shared" si="4"/>
        <v>23764988.5</v>
      </c>
      <c r="H11" s="767">
        <f t="shared" si="0"/>
        <v>7810637.5</v>
      </c>
      <c r="I11" s="407">
        <f t="shared" si="1"/>
        <v>0.32866153080612681</v>
      </c>
      <c r="J11" s="404">
        <f t="shared" si="2"/>
        <v>0.33566923459693665</v>
      </c>
    </row>
    <row r="12" spans="1:12" x14ac:dyDescent="0.25">
      <c r="A12" s="376" t="s">
        <v>297</v>
      </c>
      <c r="B12" s="600">
        <v>0</v>
      </c>
      <c r="C12" s="601">
        <v>3960831.4166666665</v>
      </c>
      <c r="D12" s="602">
        <v>0</v>
      </c>
      <c r="E12" s="602">
        <v>4570525.2</v>
      </c>
      <c r="F12" s="402">
        <f t="shared" si="3"/>
        <v>20524876.199999999</v>
      </c>
      <c r="G12" s="402">
        <f t="shared" si="4"/>
        <v>27725819.916666668</v>
      </c>
      <c r="H12" s="377">
        <f t="shared" si="0"/>
        <v>7200943.7166666687</v>
      </c>
      <c r="I12" s="407">
        <f t="shared" si="1"/>
        <v>0.25971977522432099</v>
      </c>
      <c r="J12" s="404">
        <f t="shared" si="2"/>
        <v>0.4318301311191462</v>
      </c>
    </row>
    <row r="13" spans="1:12" x14ac:dyDescent="0.25">
      <c r="A13" s="376" t="s">
        <v>298</v>
      </c>
      <c r="B13" s="600">
        <v>0</v>
      </c>
      <c r="C13" s="601">
        <v>3960831.4166666665</v>
      </c>
      <c r="D13" s="602">
        <v>0</v>
      </c>
      <c r="E13" s="602">
        <v>2380767.3800000004</v>
      </c>
      <c r="F13" s="402">
        <f t="shared" si="3"/>
        <v>22905643.579999998</v>
      </c>
      <c r="G13" s="402">
        <f t="shared" si="4"/>
        <v>31686651.333333336</v>
      </c>
      <c r="H13" s="377">
        <f t="shared" si="0"/>
        <v>8781007.7533333376</v>
      </c>
      <c r="I13" s="407">
        <f t="shared" si="1"/>
        <v>0.27712009265226462</v>
      </c>
      <c r="J13" s="404">
        <f t="shared" si="2"/>
        <v>0.48191993823182372</v>
      </c>
    </row>
    <row r="14" spans="1:12" x14ac:dyDescent="0.25">
      <c r="A14" s="376" t="s">
        <v>299</v>
      </c>
      <c r="B14" s="600">
        <v>0</v>
      </c>
      <c r="C14" s="601">
        <v>3960831.4166666665</v>
      </c>
      <c r="D14" s="602">
        <v>0</v>
      </c>
      <c r="E14" s="602">
        <v>7626868</v>
      </c>
      <c r="F14" s="402">
        <f t="shared" si="3"/>
        <v>30532511.579999998</v>
      </c>
      <c r="G14" s="402">
        <f t="shared" si="4"/>
        <v>35647482.75</v>
      </c>
      <c r="H14" s="377">
        <f t="shared" si="0"/>
        <v>5114971.1700000018</v>
      </c>
      <c r="I14" s="407">
        <f t="shared" si="1"/>
        <v>0.14348758384629562</v>
      </c>
      <c r="J14" s="404">
        <f t="shared" si="2"/>
        <v>0.64238431211527836</v>
      </c>
      <c r="K14" s="765"/>
    </row>
    <row r="15" spans="1:12" x14ac:dyDescent="0.25">
      <c r="A15" s="376" t="s">
        <v>300</v>
      </c>
      <c r="B15" s="600">
        <v>0</v>
      </c>
      <c r="C15" s="601">
        <v>3960831.4166666665</v>
      </c>
      <c r="D15" s="602">
        <v>0</v>
      </c>
      <c r="E15" s="602">
        <v>2829571.75</v>
      </c>
      <c r="F15" s="402">
        <f t="shared" si="3"/>
        <v>33362083.329999998</v>
      </c>
      <c r="G15" s="402">
        <f t="shared" si="4"/>
        <v>39608314.166666664</v>
      </c>
      <c r="H15" s="377">
        <f t="shared" si="0"/>
        <v>6246230.836666666</v>
      </c>
      <c r="I15" s="407">
        <f t="shared" si="1"/>
        <v>0.15769999223858239</v>
      </c>
      <c r="J15" s="404">
        <f t="shared" si="2"/>
        <v>0.70191667313451478</v>
      </c>
    </row>
    <row r="16" spans="1:12" x14ac:dyDescent="0.25">
      <c r="A16" s="376" t="s">
        <v>301</v>
      </c>
      <c r="B16" s="600">
        <v>0</v>
      </c>
      <c r="C16" s="601">
        <v>3960831.4166666665</v>
      </c>
      <c r="D16" s="602">
        <v>0</v>
      </c>
      <c r="E16" s="602">
        <v>8275352.8399999999</v>
      </c>
      <c r="F16" s="402">
        <f t="shared" si="3"/>
        <v>41637436.170000002</v>
      </c>
      <c r="G16" s="402">
        <f t="shared" si="4"/>
        <v>43569145.583333328</v>
      </c>
      <c r="H16" s="377">
        <f t="shared" si="0"/>
        <v>1931709.4133333266</v>
      </c>
      <c r="I16" s="407">
        <f t="shared" si="1"/>
        <v>4.4336637486695876E-2</v>
      </c>
      <c r="J16" s="404">
        <f t="shared" si="2"/>
        <v>0.87602474897052884</v>
      </c>
    </row>
    <row r="17" spans="1:10" x14ac:dyDescent="0.25">
      <c r="A17" s="390" t="s">
        <v>302</v>
      </c>
      <c r="B17" s="604">
        <v>0</v>
      </c>
      <c r="C17" s="605">
        <v>3960831.4166666665</v>
      </c>
      <c r="D17" s="606">
        <v>0</v>
      </c>
      <c r="E17" s="606">
        <v>5892540.8299999898</v>
      </c>
      <c r="F17" s="402">
        <f t="shared" si="3"/>
        <v>47529976.999999993</v>
      </c>
      <c r="G17" s="402">
        <f t="shared" si="4"/>
        <v>47529976.999999993</v>
      </c>
      <c r="H17" s="377">
        <f t="shared" si="0"/>
        <v>0</v>
      </c>
      <c r="I17" s="407" t="str">
        <f t="shared" si="1"/>
        <v/>
      </c>
      <c r="J17" s="404">
        <f t="shared" si="2"/>
        <v>1</v>
      </c>
    </row>
    <row r="18" spans="1:10" x14ac:dyDescent="0.25">
      <c r="A18" s="379" t="s">
        <v>303</v>
      </c>
      <c r="B18" s="389">
        <v>0</v>
      </c>
      <c r="C18" s="393">
        <f>SUM(C6:C17)</f>
        <v>47529976.999999993</v>
      </c>
      <c r="D18" s="378">
        <v>0</v>
      </c>
      <c r="E18" s="378">
        <f>SUM(E6:E17)</f>
        <v>47529976.999999993</v>
      </c>
      <c r="F18" s="401"/>
      <c r="G18" s="401"/>
      <c r="H18" s="401"/>
      <c r="I18" s="403"/>
      <c r="J18" s="388"/>
    </row>
    <row r="20" spans="1:10" x14ac:dyDescent="0.25">
      <c r="E20" s="560">
        <f>E18-C18</f>
        <v>0</v>
      </c>
    </row>
  </sheetData>
  <mergeCells count="3">
    <mergeCell ref="A2:A3"/>
    <mergeCell ref="A1:J1"/>
    <mergeCell ref="C2:J2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X49"/>
  <sheetViews>
    <sheetView zoomScaleNormal="100" workbookViewId="0">
      <pane xSplit="3" ySplit="4" topLeftCell="D33" activePane="bottomRight" state="frozen"/>
      <selection pane="topRight" activeCell="D1" sqref="D1"/>
      <selection pane="bottomLeft" activeCell="A5" sqref="A5"/>
      <selection pane="bottomRight" activeCell="T40" sqref="T40"/>
    </sheetView>
  </sheetViews>
  <sheetFormatPr defaultRowHeight="15" x14ac:dyDescent="0.25"/>
  <cols>
    <col min="1" max="1" width="30" customWidth="1"/>
    <col min="2" max="2" width="3.140625" bestFit="1" customWidth="1"/>
    <col min="3" max="3" width="6.85546875" hidden="1" customWidth="1"/>
    <col min="4" max="4" width="7.7109375" bestFit="1" customWidth="1"/>
    <col min="5" max="5" width="8.7109375" customWidth="1"/>
    <col min="6" max="6" width="9.28515625" style="227" customWidth="1"/>
    <col min="7" max="7" width="8.140625" style="227" customWidth="1"/>
    <col min="8" max="8" width="7.7109375" customWidth="1"/>
    <col min="9" max="9" width="7.5703125" customWidth="1"/>
    <col min="10" max="10" width="8.7109375" customWidth="1"/>
    <col min="11" max="11" width="7.42578125" bestFit="1" customWidth="1"/>
    <col min="12" max="12" width="7.7109375" style="227" customWidth="1"/>
    <col min="13" max="13" width="7.85546875" style="227" customWidth="1"/>
    <col min="14" max="14" width="7.7109375" style="227" customWidth="1"/>
    <col min="15" max="16" width="7.7109375" bestFit="1" customWidth="1"/>
    <col min="17" max="17" width="7" customWidth="1"/>
    <col min="18" max="18" width="7.28515625" customWidth="1"/>
    <col min="19" max="19" width="9.7109375" bestFit="1" customWidth="1"/>
    <col min="20" max="20" width="10" customWidth="1"/>
    <col min="21" max="21" width="13.140625" bestFit="1" customWidth="1"/>
    <col min="22" max="22" width="15.28515625" bestFit="1" customWidth="1"/>
    <col min="24" max="24" width="10" bestFit="1" customWidth="1"/>
  </cols>
  <sheetData>
    <row r="1" spans="1:24" x14ac:dyDescent="0.25">
      <c r="A1" s="822" t="s">
        <v>394</v>
      </c>
      <c r="B1" s="822"/>
      <c r="C1" s="822"/>
      <c r="D1" s="822"/>
      <c r="E1" s="822"/>
      <c r="F1" s="822"/>
      <c r="G1" s="822"/>
      <c r="H1" s="822"/>
      <c r="I1" s="822"/>
      <c r="J1" s="822"/>
      <c r="K1" s="822"/>
      <c r="L1" s="822"/>
      <c r="M1" s="822"/>
      <c r="N1" s="822"/>
      <c r="O1" s="822"/>
      <c r="P1" s="822"/>
      <c r="Q1" s="822"/>
      <c r="R1" s="822"/>
      <c r="S1" s="822"/>
      <c r="T1" s="822"/>
    </row>
    <row r="2" spans="1:24" x14ac:dyDescent="0.25">
      <c r="A2" s="815" t="s">
        <v>0</v>
      </c>
      <c r="B2" s="817" t="s">
        <v>1</v>
      </c>
      <c r="C2" s="5" t="s">
        <v>2</v>
      </c>
      <c r="D2" s="819" t="s">
        <v>362</v>
      </c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820"/>
      <c r="P2" s="820"/>
      <c r="Q2" s="820"/>
      <c r="R2" s="820"/>
      <c r="S2" s="820"/>
      <c r="T2" s="821"/>
    </row>
    <row r="3" spans="1:24" ht="25.5" x14ac:dyDescent="0.25">
      <c r="A3" s="816"/>
      <c r="B3" s="818"/>
      <c r="C3" s="6" t="s">
        <v>3</v>
      </c>
      <c r="D3" s="9" t="s">
        <v>4</v>
      </c>
      <c r="E3" s="775" t="s">
        <v>387</v>
      </c>
      <c r="F3" s="4" t="s">
        <v>398</v>
      </c>
      <c r="G3" s="4" t="s">
        <v>399</v>
      </c>
      <c r="H3" s="4" t="s">
        <v>400</v>
      </c>
      <c r="I3" s="4" t="s">
        <v>395</v>
      </c>
      <c r="J3" s="4" t="s">
        <v>396</v>
      </c>
      <c r="K3" s="4" t="s">
        <v>397</v>
      </c>
      <c r="L3" s="4" t="s">
        <v>401</v>
      </c>
      <c r="M3" s="4" t="s">
        <v>402</v>
      </c>
      <c r="N3" s="4" t="s">
        <v>403</v>
      </c>
      <c r="O3" s="4" t="s">
        <v>404</v>
      </c>
      <c r="P3" s="4" t="s">
        <v>405</v>
      </c>
      <c r="Q3" s="4" t="s">
        <v>393</v>
      </c>
      <c r="R3" s="4" t="s">
        <v>9</v>
      </c>
      <c r="S3" s="10" t="s">
        <v>9</v>
      </c>
      <c r="T3" s="7" t="s">
        <v>10</v>
      </c>
    </row>
    <row r="4" spans="1:24" x14ac:dyDescent="0.25">
      <c r="A4" s="665" t="s">
        <v>11</v>
      </c>
      <c r="B4" s="417"/>
      <c r="C4" s="8"/>
      <c r="D4" s="726" t="s">
        <v>360</v>
      </c>
      <c r="E4" s="726" t="s">
        <v>360</v>
      </c>
      <c r="F4" s="726" t="s">
        <v>360</v>
      </c>
      <c r="G4" s="726" t="s">
        <v>360</v>
      </c>
      <c r="H4" s="726" t="s">
        <v>360</v>
      </c>
      <c r="I4" s="726" t="s">
        <v>360</v>
      </c>
      <c r="J4" s="726" t="s">
        <v>360</v>
      </c>
      <c r="K4" s="726" t="s">
        <v>360</v>
      </c>
      <c r="L4" s="726" t="s">
        <v>360</v>
      </c>
      <c r="M4" s="726" t="s">
        <v>360</v>
      </c>
      <c r="N4" s="726" t="s">
        <v>360</v>
      </c>
      <c r="O4" s="726" t="s">
        <v>360</v>
      </c>
      <c r="P4" s="726" t="s">
        <v>360</v>
      </c>
      <c r="Q4" s="726" t="s">
        <v>360</v>
      </c>
      <c r="R4" s="726" t="s">
        <v>360</v>
      </c>
      <c r="S4" s="11" t="s">
        <v>12</v>
      </c>
      <c r="T4" s="726" t="s">
        <v>360</v>
      </c>
    </row>
    <row r="5" spans="1:24" x14ac:dyDescent="0.25">
      <c r="A5" s="418" t="s">
        <v>13</v>
      </c>
      <c r="B5" s="419"/>
      <c r="C5" s="420"/>
      <c r="D5" s="421"/>
      <c r="E5" s="564"/>
      <c r="F5" s="564"/>
      <c r="G5" s="564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558"/>
      <c r="T5" s="423"/>
    </row>
    <row r="6" spans="1:24" x14ac:dyDescent="0.25">
      <c r="A6" s="2" t="s">
        <v>14</v>
      </c>
      <c r="B6" s="12"/>
      <c r="C6" s="424"/>
      <c r="D6" s="671">
        <v>11992790</v>
      </c>
      <c r="E6" s="667">
        <v>11992790</v>
      </c>
      <c r="F6" s="1">
        <f t="shared" ref="F6:F22" si="0">E6/12</f>
        <v>999399.16666666663</v>
      </c>
      <c r="G6" s="1">
        <v>632111</v>
      </c>
      <c r="H6" s="1">
        <v>351012.74999999988</v>
      </c>
      <c r="I6" s="1">
        <f t="shared" ref="I6:I22" si="1">E6/12</f>
        <v>999399.16666666663</v>
      </c>
      <c r="J6" s="1">
        <v>501877</v>
      </c>
      <c r="K6" s="1">
        <v>1088020.8700000003</v>
      </c>
      <c r="L6" s="1">
        <f>E6/12</f>
        <v>999399.16666666663</v>
      </c>
      <c r="M6" s="1">
        <v>505199</v>
      </c>
      <c r="N6" s="1">
        <v>1097453.0899999999</v>
      </c>
      <c r="O6" s="1">
        <f>G6+J6+M6</f>
        <v>1639187</v>
      </c>
      <c r="P6" s="1">
        <f>H6+K6+N6</f>
        <v>2536486.71</v>
      </c>
      <c r="Q6" s="1">
        <f>F6+I6+L6</f>
        <v>2998197.5</v>
      </c>
      <c r="R6" s="1">
        <f>O6-Q6</f>
        <v>-1359010.5</v>
      </c>
      <c r="S6" s="683">
        <f>R6/Q6</f>
        <v>-0.45327584323581083</v>
      </c>
      <c r="T6" s="433">
        <v>9379181.2800000012</v>
      </c>
      <c r="U6" s="541"/>
      <c r="V6" s="541"/>
      <c r="W6" s="541"/>
      <c r="X6" s="541"/>
    </row>
    <row r="7" spans="1:24" x14ac:dyDescent="0.25">
      <c r="A7" s="2" t="s">
        <v>15</v>
      </c>
      <c r="B7" s="12"/>
      <c r="C7" s="424"/>
      <c r="D7" s="1">
        <v>0</v>
      </c>
      <c r="E7" s="1">
        <v>0</v>
      </c>
      <c r="F7" s="1">
        <f t="shared" si="0"/>
        <v>0</v>
      </c>
      <c r="G7" s="1">
        <v>0</v>
      </c>
      <c r="H7" s="1">
        <v>0</v>
      </c>
      <c r="I7" s="1">
        <f t="shared" si="1"/>
        <v>0</v>
      </c>
      <c r="J7" s="1">
        <v>0</v>
      </c>
      <c r="K7" s="1">
        <v>0</v>
      </c>
      <c r="L7" s="1">
        <f t="shared" ref="L7:L22" si="2">E7/12</f>
        <v>0</v>
      </c>
      <c r="M7" s="1">
        <v>0</v>
      </c>
      <c r="N7" s="1">
        <v>0</v>
      </c>
      <c r="O7" s="1">
        <f t="shared" ref="O7:O22" si="3">G7+J7+M7</f>
        <v>0</v>
      </c>
      <c r="P7" s="1">
        <f t="shared" ref="P7:P22" si="4">H7+K7+N7</f>
        <v>0</v>
      </c>
      <c r="Q7" s="1">
        <f t="shared" ref="Q7:Q22" si="5">F7+I7+L7</f>
        <v>0</v>
      </c>
      <c r="R7" s="1">
        <f t="shared" ref="R7:R22" si="6">O7-Q7</f>
        <v>0</v>
      </c>
      <c r="S7" s="683">
        <v>0</v>
      </c>
      <c r="T7" s="433">
        <f t="shared" ref="T7:T22" si="7">D7</f>
        <v>0</v>
      </c>
      <c r="U7" s="541"/>
      <c r="V7" s="541"/>
      <c r="W7" s="541"/>
      <c r="X7" s="541"/>
    </row>
    <row r="8" spans="1:24" x14ac:dyDescent="0.25">
      <c r="A8" s="2" t="s">
        <v>17</v>
      </c>
      <c r="B8" s="12"/>
      <c r="C8" s="424"/>
      <c r="D8" s="671">
        <v>9208871</v>
      </c>
      <c r="E8" s="667">
        <v>9554763</v>
      </c>
      <c r="F8" s="1">
        <f t="shared" si="0"/>
        <v>796230.25</v>
      </c>
      <c r="G8" s="1">
        <v>597913</v>
      </c>
      <c r="H8" s="1">
        <v>809343.93999999983</v>
      </c>
      <c r="I8" s="1">
        <f t="shared" si="1"/>
        <v>796230.25</v>
      </c>
      <c r="J8" s="1">
        <v>609846</v>
      </c>
      <c r="K8" s="1">
        <v>346171.23999999993</v>
      </c>
      <c r="L8" s="1">
        <f t="shared" si="2"/>
        <v>796230.25</v>
      </c>
      <c r="M8" s="1">
        <v>649453</v>
      </c>
      <c r="N8" s="1">
        <v>331530.01999999996</v>
      </c>
      <c r="O8" s="1">
        <f t="shared" si="3"/>
        <v>1857212</v>
      </c>
      <c r="P8" s="1">
        <f t="shared" si="4"/>
        <v>1487045.1999999997</v>
      </c>
      <c r="Q8" s="1">
        <f>F8+I8+L8</f>
        <v>2388690.75</v>
      </c>
      <c r="R8" s="1">
        <f t="shared" si="6"/>
        <v>-531478.75</v>
      </c>
      <c r="S8" s="683">
        <f>R8/Q8</f>
        <v>-0.22249793113654415</v>
      </c>
      <c r="T8" s="433">
        <v>6740871.1899999995</v>
      </c>
      <c r="U8" s="541"/>
      <c r="V8" s="541"/>
      <c r="W8" s="541"/>
      <c r="X8" s="541"/>
    </row>
    <row r="9" spans="1:24" x14ac:dyDescent="0.25">
      <c r="A9" s="2" t="s">
        <v>18</v>
      </c>
      <c r="B9" s="12"/>
      <c r="C9" s="424"/>
      <c r="D9" s="671">
        <v>7710116</v>
      </c>
      <c r="E9" s="667">
        <v>10765106.879999999</v>
      </c>
      <c r="F9" s="1">
        <f t="shared" si="0"/>
        <v>897092.23999999987</v>
      </c>
      <c r="G9" s="1">
        <v>882907</v>
      </c>
      <c r="H9" s="1">
        <v>312617.13</v>
      </c>
      <c r="I9" s="1">
        <f t="shared" si="1"/>
        <v>897092.23999999987</v>
      </c>
      <c r="J9" s="1">
        <v>699716</v>
      </c>
      <c r="K9" s="1">
        <v>467623.05000000005</v>
      </c>
      <c r="L9" s="1">
        <f t="shared" si="2"/>
        <v>897092.23999999987</v>
      </c>
      <c r="M9" s="1">
        <v>926256</v>
      </c>
      <c r="N9" s="1">
        <v>458492.39</v>
      </c>
      <c r="O9" s="1">
        <f t="shared" si="3"/>
        <v>2508879</v>
      </c>
      <c r="P9" s="1">
        <f t="shared" si="4"/>
        <v>1238732.57</v>
      </c>
      <c r="Q9" s="1">
        <f t="shared" si="5"/>
        <v>2691276.7199999997</v>
      </c>
      <c r="R9" s="1">
        <f t="shared" si="6"/>
        <v>-182397.71999999974</v>
      </c>
      <c r="S9" s="683">
        <f>R9/Q9</f>
        <v>-6.7773677319959785E-2</v>
      </c>
      <c r="T9" s="433">
        <v>3946956.1599999997</v>
      </c>
      <c r="U9" s="541"/>
      <c r="V9" s="541"/>
      <c r="W9" s="541"/>
      <c r="X9" s="541"/>
    </row>
    <row r="10" spans="1:24" x14ac:dyDescent="0.25">
      <c r="A10" s="2" t="s">
        <v>19</v>
      </c>
      <c r="B10" s="12"/>
      <c r="C10" s="424"/>
      <c r="D10" s="671">
        <v>6884936</v>
      </c>
      <c r="E10" s="667">
        <v>8341704.6571428571</v>
      </c>
      <c r="F10" s="1">
        <f t="shared" si="0"/>
        <v>695142.05476190476</v>
      </c>
      <c r="G10" s="1">
        <v>793757</v>
      </c>
      <c r="H10" s="1">
        <v>541283.74</v>
      </c>
      <c r="I10" s="1">
        <f t="shared" si="1"/>
        <v>695142.05476190476</v>
      </c>
      <c r="J10" s="1">
        <v>781941</v>
      </c>
      <c r="K10" s="1">
        <v>567680.58000000007</v>
      </c>
      <c r="L10" s="1">
        <f t="shared" si="2"/>
        <v>695142.05476190476</v>
      </c>
      <c r="M10" s="1">
        <v>781007</v>
      </c>
      <c r="N10" s="1">
        <v>647016.91</v>
      </c>
      <c r="O10" s="1">
        <f t="shared" si="3"/>
        <v>2356705</v>
      </c>
      <c r="P10" s="1">
        <f t="shared" si="4"/>
        <v>1755981.23</v>
      </c>
      <c r="Q10" s="1">
        <f t="shared" si="5"/>
        <v>2085426.1642857143</v>
      </c>
      <c r="R10" s="1">
        <f t="shared" si="6"/>
        <v>271278.83571428573</v>
      </c>
      <c r="S10" s="683">
        <f>R10/Q10</f>
        <v>0.13008316494734412</v>
      </c>
      <c r="T10" s="433">
        <v>5532679.0599999996</v>
      </c>
      <c r="U10" s="541"/>
      <c r="V10" s="541"/>
      <c r="W10" s="541"/>
      <c r="X10" s="541"/>
    </row>
    <row r="11" spans="1:24" x14ac:dyDescent="0.25">
      <c r="A11" s="13" t="s">
        <v>20</v>
      </c>
      <c r="B11" s="12"/>
      <c r="C11" s="424"/>
      <c r="D11" s="671">
        <v>6569898</v>
      </c>
      <c r="E11" s="667">
        <v>7834830.3885714281</v>
      </c>
      <c r="F11" s="1">
        <f t="shared" si="0"/>
        <v>652902.53238095238</v>
      </c>
      <c r="G11" s="1">
        <v>768543</v>
      </c>
      <c r="H11" s="1">
        <v>493562.75999999995</v>
      </c>
      <c r="I11" s="1">
        <f t="shared" si="1"/>
        <v>652902.53238095238</v>
      </c>
      <c r="J11" s="1">
        <v>744657</v>
      </c>
      <c r="K11" s="1">
        <v>536538.73999999987</v>
      </c>
      <c r="L11" s="1">
        <f t="shared" si="2"/>
        <v>652902.53238095238</v>
      </c>
      <c r="M11" s="1">
        <v>788456</v>
      </c>
      <c r="N11" s="1">
        <v>620366.57999999996</v>
      </c>
      <c r="O11" s="1">
        <f t="shared" si="3"/>
        <v>2301656</v>
      </c>
      <c r="P11" s="1">
        <f t="shared" si="4"/>
        <v>1650468.0799999996</v>
      </c>
      <c r="Q11" s="1">
        <f t="shared" si="5"/>
        <v>1958707.597142857</v>
      </c>
      <c r="R11" s="1">
        <f t="shared" si="6"/>
        <v>342948.40285714297</v>
      </c>
      <c r="S11" s="683">
        <f>R11/Q11</f>
        <v>0.17508912680861485</v>
      </c>
      <c r="T11" s="433">
        <v>5399365.5600000005</v>
      </c>
      <c r="U11" s="541"/>
      <c r="V11" s="541"/>
      <c r="W11" s="541"/>
      <c r="X11" s="541"/>
    </row>
    <row r="12" spans="1:24" x14ac:dyDescent="0.25">
      <c r="A12" s="2" t="s">
        <v>21</v>
      </c>
      <c r="B12" s="12"/>
      <c r="C12" s="424"/>
      <c r="D12" s="1">
        <v>0</v>
      </c>
      <c r="E12" s="1">
        <v>0</v>
      </c>
      <c r="F12" s="1">
        <f t="shared" si="0"/>
        <v>0</v>
      </c>
      <c r="G12" s="1"/>
      <c r="H12" s="1">
        <v>0</v>
      </c>
      <c r="I12" s="1">
        <f t="shared" si="1"/>
        <v>0</v>
      </c>
      <c r="J12" s="1">
        <v>0</v>
      </c>
      <c r="K12" s="1">
        <v>0</v>
      </c>
      <c r="L12" s="1">
        <f t="shared" si="2"/>
        <v>0</v>
      </c>
      <c r="M12" s="1">
        <v>0</v>
      </c>
      <c r="N12" s="1">
        <v>0</v>
      </c>
      <c r="O12" s="1">
        <f t="shared" si="3"/>
        <v>0</v>
      </c>
      <c r="P12" s="1">
        <f t="shared" si="4"/>
        <v>0</v>
      </c>
      <c r="Q12" s="1">
        <f t="shared" si="5"/>
        <v>0</v>
      </c>
      <c r="R12" s="1">
        <f t="shared" si="6"/>
        <v>0</v>
      </c>
      <c r="S12" s="683">
        <v>0</v>
      </c>
      <c r="T12" s="433">
        <f t="shared" si="7"/>
        <v>0</v>
      </c>
      <c r="U12" s="560"/>
    </row>
    <row r="13" spans="1:24" x14ac:dyDescent="0.25">
      <c r="A13" s="2" t="s">
        <v>22</v>
      </c>
      <c r="B13" s="12"/>
      <c r="C13" s="424"/>
      <c r="D13" s="671">
        <v>4592838</v>
      </c>
      <c r="E13" s="667">
        <v>4479663</v>
      </c>
      <c r="F13" s="1">
        <f t="shared" si="0"/>
        <v>373305.25</v>
      </c>
      <c r="G13" s="1">
        <v>889902</v>
      </c>
      <c r="H13" s="1">
        <v>10822.26</v>
      </c>
      <c r="I13" s="1">
        <f t="shared" si="1"/>
        <v>373305.25</v>
      </c>
      <c r="J13" s="1">
        <v>45819</v>
      </c>
      <c r="K13" s="1">
        <v>8270.2099999999991</v>
      </c>
      <c r="L13" s="1">
        <f t="shared" si="2"/>
        <v>373305.25</v>
      </c>
      <c r="M13" s="1">
        <v>5878.51</v>
      </c>
      <c r="N13" s="1">
        <v>24530.860000000004</v>
      </c>
      <c r="O13" s="1">
        <f t="shared" si="3"/>
        <v>941599.51</v>
      </c>
      <c r="P13" s="1">
        <f t="shared" si="4"/>
        <v>43623.33</v>
      </c>
      <c r="Q13" s="1">
        <f t="shared" si="5"/>
        <v>1119915.75</v>
      </c>
      <c r="R13" s="1">
        <f t="shared" si="6"/>
        <v>-178316.24</v>
      </c>
      <c r="S13" s="683">
        <f>R13/Q13</f>
        <v>-0.15922290583019302</v>
      </c>
      <c r="T13" s="433">
        <v>887817.25999999989</v>
      </c>
      <c r="U13" s="560"/>
    </row>
    <row r="14" spans="1:24" x14ac:dyDescent="0.25">
      <c r="A14" s="2" t="s">
        <v>23</v>
      </c>
      <c r="B14" s="12"/>
      <c r="C14" s="424"/>
      <c r="D14" s="671">
        <v>244216</v>
      </c>
      <c r="E14" s="667">
        <v>206715</v>
      </c>
      <c r="F14" s="1">
        <f t="shared" si="0"/>
        <v>17226.25</v>
      </c>
      <c r="G14" s="1">
        <v>143</v>
      </c>
      <c r="H14" s="1">
        <v>0</v>
      </c>
      <c r="I14" s="1">
        <f t="shared" si="1"/>
        <v>17226.25</v>
      </c>
      <c r="J14" s="1">
        <v>6033</v>
      </c>
      <c r="K14" s="1">
        <v>0</v>
      </c>
      <c r="L14" s="1">
        <f t="shared" si="2"/>
        <v>17226.25</v>
      </c>
      <c r="M14" s="1">
        <v>196475</v>
      </c>
      <c r="N14" s="1">
        <v>0</v>
      </c>
      <c r="O14" s="1">
        <f t="shared" si="3"/>
        <v>202651</v>
      </c>
      <c r="P14" s="1">
        <f>H14+K14+N14</f>
        <v>0</v>
      </c>
      <c r="Q14" s="1">
        <f t="shared" si="5"/>
        <v>51678.75</v>
      </c>
      <c r="R14" s="1">
        <f t="shared" si="6"/>
        <v>150972.25</v>
      </c>
      <c r="S14" s="683">
        <f>R14/Q14</f>
        <v>2.9213603270202935</v>
      </c>
      <c r="T14" s="433">
        <v>0</v>
      </c>
      <c r="U14" s="560"/>
    </row>
    <row r="15" spans="1:24" x14ac:dyDescent="0.25">
      <c r="A15" s="2" t="s">
        <v>24</v>
      </c>
      <c r="B15" s="12"/>
      <c r="C15" s="424"/>
      <c r="D15" s="671">
        <v>11927627</v>
      </c>
      <c r="E15" s="667">
        <v>12094141</v>
      </c>
      <c r="F15" s="1">
        <f t="shared" si="0"/>
        <v>1007845.0833333334</v>
      </c>
      <c r="G15" s="1">
        <v>766052</v>
      </c>
      <c r="H15" s="1">
        <v>0</v>
      </c>
      <c r="I15" s="1">
        <f t="shared" si="1"/>
        <v>1007845.0833333334</v>
      </c>
      <c r="J15" s="1">
        <v>790260</v>
      </c>
      <c r="K15" s="1">
        <v>0</v>
      </c>
      <c r="L15" s="1">
        <f t="shared" si="2"/>
        <v>1007845.0833333334</v>
      </c>
      <c r="M15" s="1">
        <v>154860</v>
      </c>
      <c r="N15" s="1">
        <v>0</v>
      </c>
      <c r="O15" s="1">
        <f t="shared" si="3"/>
        <v>1711172</v>
      </c>
      <c r="P15" s="1">
        <f t="shared" si="4"/>
        <v>0</v>
      </c>
      <c r="Q15" s="1">
        <f t="shared" si="5"/>
        <v>3023535.25</v>
      </c>
      <c r="R15" s="1">
        <f t="shared" si="6"/>
        <v>-1312363.25</v>
      </c>
      <c r="S15" s="683">
        <f>R15/Q15</f>
        <v>-0.43404926401966043</v>
      </c>
      <c r="T15" s="433">
        <v>0</v>
      </c>
      <c r="U15" s="560"/>
    </row>
    <row r="16" spans="1:24" x14ac:dyDescent="0.25">
      <c r="A16" s="2" t="s">
        <v>25</v>
      </c>
      <c r="B16" s="12"/>
      <c r="C16" s="424"/>
      <c r="D16" s="1">
        <v>0</v>
      </c>
      <c r="E16" s="1">
        <v>0</v>
      </c>
      <c r="F16" s="1">
        <f t="shared" si="0"/>
        <v>0</v>
      </c>
      <c r="G16" s="1">
        <v>0</v>
      </c>
      <c r="H16" s="1">
        <v>0</v>
      </c>
      <c r="I16" s="1">
        <f t="shared" si="1"/>
        <v>0</v>
      </c>
      <c r="J16" s="1">
        <v>0</v>
      </c>
      <c r="K16" s="1">
        <v>0</v>
      </c>
      <c r="L16" s="1">
        <f t="shared" si="2"/>
        <v>0</v>
      </c>
      <c r="M16" s="1">
        <v>0</v>
      </c>
      <c r="N16" s="1">
        <v>0</v>
      </c>
      <c r="O16" s="1">
        <f t="shared" si="3"/>
        <v>0</v>
      </c>
      <c r="P16" s="1">
        <f t="shared" si="4"/>
        <v>0</v>
      </c>
      <c r="Q16" s="1">
        <f t="shared" si="5"/>
        <v>0</v>
      </c>
      <c r="R16" s="1">
        <f t="shared" si="6"/>
        <v>0</v>
      </c>
      <c r="S16" s="683">
        <v>0</v>
      </c>
      <c r="T16" s="433">
        <f t="shared" si="7"/>
        <v>0</v>
      </c>
      <c r="U16" s="560"/>
    </row>
    <row r="17" spans="1:24" x14ac:dyDescent="0.25">
      <c r="A17" s="2" t="s">
        <v>26</v>
      </c>
      <c r="B17" s="12"/>
      <c r="C17" s="424"/>
      <c r="D17" s="671">
        <v>75000</v>
      </c>
      <c r="E17" s="667">
        <v>50000</v>
      </c>
      <c r="F17" s="1">
        <f t="shared" si="0"/>
        <v>4166.666666666667</v>
      </c>
      <c r="G17" s="1">
        <v>0</v>
      </c>
      <c r="H17" s="1">
        <v>0</v>
      </c>
      <c r="I17" s="1">
        <f t="shared" si="1"/>
        <v>4166.666666666667</v>
      </c>
      <c r="J17" s="1">
        <v>0</v>
      </c>
      <c r="K17" s="1">
        <v>0</v>
      </c>
      <c r="L17" s="1">
        <f t="shared" si="2"/>
        <v>4166.666666666667</v>
      </c>
      <c r="M17" s="1">
        <v>0</v>
      </c>
      <c r="N17" s="1">
        <v>0</v>
      </c>
      <c r="O17" s="1">
        <f t="shared" si="3"/>
        <v>0</v>
      </c>
      <c r="P17" s="1">
        <f>H17+K17+N17</f>
        <v>0</v>
      </c>
      <c r="Q17" s="1">
        <f t="shared" si="5"/>
        <v>12500</v>
      </c>
      <c r="R17" s="1">
        <f t="shared" si="6"/>
        <v>-12500</v>
      </c>
      <c r="S17" s="683">
        <f>R17/Q17</f>
        <v>-1</v>
      </c>
      <c r="T17" s="433">
        <v>45780</v>
      </c>
      <c r="U17" s="560"/>
    </row>
    <row r="18" spans="1:24" x14ac:dyDescent="0.25">
      <c r="A18" s="2" t="s">
        <v>27</v>
      </c>
      <c r="B18" s="12"/>
      <c r="C18" s="424"/>
      <c r="D18" s="671">
        <v>28036</v>
      </c>
      <c r="E18" s="667">
        <v>24810</v>
      </c>
      <c r="F18" s="1">
        <f t="shared" si="0"/>
        <v>2067.5</v>
      </c>
      <c r="G18" s="1">
        <v>1679</v>
      </c>
      <c r="H18" s="1">
        <v>10539.95</v>
      </c>
      <c r="I18" s="1">
        <f t="shared" si="1"/>
        <v>2067.5</v>
      </c>
      <c r="J18" s="1">
        <v>2663</v>
      </c>
      <c r="K18" s="1">
        <v>3036</v>
      </c>
      <c r="L18" s="1">
        <f t="shared" si="2"/>
        <v>2067.5</v>
      </c>
      <c r="M18" s="1">
        <v>5243</v>
      </c>
      <c r="N18" s="1">
        <v>5978</v>
      </c>
      <c r="O18" s="1">
        <f t="shared" si="3"/>
        <v>9585</v>
      </c>
      <c r="P18" s="1">
        <f t="shared" si="4"/>
        <v>19553.95</v>
      </c>
      <c r="Q18" s="1">
        <f t="shared" si="5"/>
        <v>6202.5</v>
      </c>
      <c r="R18" s="1">
        <f t="shared" si="6"/>
        <v>3382.5</v>
      </c>
      <c r="S18" s="683">
        <f>R18/Q18</f>
        <v>0.54534461910519949</v>
      </c>
      <c r="T18" s="433">
        <v>75861.53</v>
      </c>
      <c r="U18" s="560"/>
    </row>
    <row r="19" spans="1:24" x14ac:dyDescent="0.25">
      <c r="A19" s="2" t="s">
        <v>28</v>
      </c>
      <c r="B19" s="12"/>
      <c r="C19" s="424"/>
      <c r="D19" s="1">
        <v>0</v>
      </c>
      <c r="E19" s="1">
        <v>0</v>
      </c>
      <c r="F19" s="1">
        <f t="shared" si="0"/>
        <v>0</v>
      </c>
      <c r="G19" s="1">
        <v>0</v>
      </c>
      <c r="H19" s="1">
        <v>0</v>
      </c>
      <c r="I19" s="1">
        <f t="shared" si="1"/>
        <v>0</v>
      </c>
      <c r="J19" s="1">
        <v>0</v>
      </c>
      <c r="K19" s="1">
        <v>0</v>
      </c>
      <c r="L19" s="1">
        <f t="shared" si="2"/>
        <v>0</v>
      </c>
      <c r="M19" s="1">
        <v>0</v>
      </c>
      <c r="N19" s="1">
        <v>0</v>
      </c>
      <c r="O19" s="1">
        <f t="shared" si="3"/>
        <v>0</v>
      </c>
      <c r="P19" s="1">
        <f t="shared" si="4"/>
        <v>0</v>
      </c>
      <c r="Q19" s="1">
        <f t="shared" si="5"/>
        <v>0</v>
      </c>
      <c r="R19" s="1">
        <f t="shared" si="6"/>
        <v>0</v>
      </c>
      <c r="S19" s="683">
        <v>0</v>
      </c>
      <c r="T19" s="433">
        <f t="shared" si="7"/>
        <v>0</v>
      </c>
      <c r="U19" s="560"/>
    </row>
    <row r="20" spans="1:24" x14ac:dyDescent="0.25">
      <c r="A20" s="13" t="s">
        <v>29</v>
      </c>
      <c r="B20" s="12"/>
      <c r="C20" s="424"/>
      <c r="D20" s="671">
        <v>62840000</v>
      </c>
      <c r="E20" s="667">
        <v>61088000</v>
      </c>
      <c r="F20" s="1">
        <f t="shared" si="0"/>
        <v>5090666.666666667</v>
      </c>
      <c r="G20" s="1">
        <v>0</v>
      </c>
      <c r="H20" s="1">
        <v>0</v>
      </c>
      <c r="I20" s="1">
        <f t="shared" si="1"/>
        <v>5090666.666666667</v>
      </c>
      <c r="J20" s="1">
        <v>0</v>
      </c>
      <c r="K20" s="1">
        <v>0</v>
      </c>
      <c r="L20" s="1">
        <f t="shared" si="2"/>
        <v>5090666.666666667</v>
      </c>
      <c r="M20" s="1">
        <v>0</v>
      </c>
      <c r="N20" s="1">
        <v>0</v>
      </c>
      <c r="O20" s="1">
        <v>15258000</v>
      </c>
      <c r="P20" s="1">
        <f>O20</f>
        <v>15258000</v>
      </c>
      <c r="Q20" s="1">
        <f>F20+I20+L20</f>
        <v>15272000</v>
      </c>
      <c r="R20" s="1">
        <f t="shared" si="6"/>
        <v>-14000</v>
      </c>
      <c r="S20" s="683">
        <f>R20/Q20</f>
        <v>-9.1671031953902572E-4</v>
      </c>
      <c r="T20" s="433">
        <v>61088000</v>
      </c>
      <c r="U20" s="560"/>
      <c r="V20" s="560"/>
    </row>
    <row r="21" spans="1:24" x14ac:dyDescent="0.25">
      <c r="A21" s="2" t="s">
        <v>30</v>
      </c>
      <c r="B21" s="12"/>
      <c r="C21" s="424"/>
      <c r="D21" s="671">
        <v>3612152</v>
      </c>
      <c r="E21" s="667">
        <v>3326834.0742857158</v>
      </c>
      <c r="F21" s="1">
        <f t="shared" si="0"/>
        <v>277236.17285714298</v>
      </c>
      <c r="G21" s="1">
        <v>25101</v>
      </c>
      <c r="H21" s="1">
        <v>36564.55000000001</v>
      </c>
      <c r="I21" s="1">
        <f t="shared" si="1"/>
        <v>277236.17285714298</v>
      </c>
      <c r="J21" s="1">
        <v>30357</v>
      </c>
      <c r="K21" s="1">
        <v>808230.29000000015</v>
      </c>
      <c r="L21" s="1">
        <f t="shared" si="2"/>
        <v>277236.17285714298</v>
      </c>
      <c r="M21" s="1">
        <v>49071</v>
      </c>
      <c r="N21" s="1">
        <v>2744613.3800000013</v>
      </c>
      <c r="O21" s="1">
        <f t="shared" si="3"/>
        <v>104529</v>
      </c>
      <c r="P21" s="1">
        <f>H21+K21+N21</f>
        <v>3589408.2200000016</v>
      </c>
      <c r="Q21" s="1">
        <f t="shared" si="5"/>
        <v>831708.51857142895</v>
      </c>
      <c r="R21" s="1">
        <f t="shared" si="6"/>
        <v>-727179.51857142895</v>
      </c>
      <c r="S21" s="683">
        <f>R21/Q21</f>
        <v>-0.87432015223369053</v>
      </c>
      <c r="T21" s="433">
        <v>7964314.7100000028</v>
      </c>
      <c r="U21" s="560"/>
      <c r="X21" s="560"/>
    </row>
    <row r="22" spans="1:24" x14ac:dyDescent="0.25">
      <c r="A22" s="2" t="s">
        <v>31</v>
      </c>
      <c r="B22" s="12"/>
      <c r="C22" s="424"/>
      <c r="D22" s="1">
        <v>0</v>
      </c>
      <c r="E22" s="1">
        <v>0</v>
      </c>
      <c r="F22" s="1">
        <f t="shared" si="0"/>
        <v>0</v>
      </c>
      <c r="G22" s="1">
        <v>0</v>
      </c>
      <c r="H22" s="1">
        <v>0</v>
      </c>
      <c r="I22" s="1">
        <f t="shared" si="1"/>
        <v>0</v>
      </c>
      <c r="J22" s="1">
        <v>0</v>
      </c>
      <c r="K22" s="1">
        <v>0</v>
      </c>
      <c r="L22" s="1">
        <f t="shared" si="2"/>
        <v>0</v>
      </c>
      <c r="M22" s="1">
        <v>0</v>
      </c>
      <c r="N22" s="1">
        <v>0</v>
      </c>
      <c r="O22" s="1">
        <f t="shared" si="3"/>
        <v>0</v>
      </c>
      <c r="P22" s="1">
        <f t="shared" si="4"/>
        <v>0</v>
      </c>
      <c r="Q22" s="1">
        <f t="shared" si="5"/>
        <v>0</v>
      </c>
      <c r="R22" s="1">
        <f t="shared" si="6"/>
        <v>0</v>
      </c>
      <c r="S22" s="683">
        <v>0</v>
      </c>
      <c r="T22" s="633">
        <f t="shared" si="7"/>
        <v>0</v>
      </c>
      <c r="U22" s="560"/>
    </row>
    <row r="23" spans="1:24" ht="25.5" x14ac:dyDescent="0.25">
      <c r="A23" s="427" t="s">
        <v>32</v>
      </c>
      <c r="B23" s="428"/>
      <c r="C23" s="429">
        <v>0</v>
      </c>
      <c r="D23" s="590">
        <f t="shared" ref="D23" si="8">SUM(D6:D22)</f>
        <v>125686480</v>
      </c>
      <c r="E23" s="590">
        <f t="shared" ref="E23:Q23" si="9">SUM(E6:E22)</f>
        <v>129759358</v>
      </c>
      <c r="F23" s="590">
        <f t="shared" si="9"/>
        <v>10813279.833333332</v>
      </c>
      <c r="G23" s="590">
        <f>SUM(G6:G22)</f>
        <v>5358108</v>
      </c>
      <c r="H23" s="590">
        <f t="shared" si="9"/>
        <v>2565747.0799999996</v>
      </c>
      <c r="I23" s="590">
        <f t="shared" si="9"/>
        <v>10813279.833333332</v>
      </c>
      <c r="J23" s="590">
        <f t="shared" si="9"/>
        <v>4213169</v>
      </c>
      <c r="K23" s="590">
        <f t="shared" si="9"/>
        <v>3825570.98</v>
      </c>
      <c r="L23" s="590">
        <f t="shared" si="9"/>
        <v>10813279.833333332</v>
      </c>
      <c r="M23" s="590">
        <f t="shared" si="9"/>
        <v>4061898.51</v>
      </c>
      <c r="N23" s="590">
        <f t="shared" si="9"/>
        <v>5929981.2300000014</v>
      </c>
      <c r="O23" s="590">
        <f t="shared" si="9"/>
        <v>28891175.509999998</v>
      </c>
      <c r="P23" s="590">
        <f t="shared" si="9"/>
        <v>27579299.290000003</v>
      </c>
      <c r="Q23" s="590">
        <f t="shared" si="9"/>
        <v>32439839.5</v>
      </c>
      <c r="R23" s="590">
        <f>Q23-O23</f>
        <v>3548663.9900000021</v>
      </c>
      <c r="S23" s="684">
        <f>R23/Q23</f>
        <v>0.10939215620965086</v>
      </c>
      <c r="T23" s="686">
        <f>SUM(T6:T22)</f>
        <v>101060826.75000001</v>
      </c>
      <c r="U23" s="685"/>
      <c r="V23" s="567"/>
    </row>
    <row r="24" spans="1:24" x14ac:dyDescent="0.25">
      <c r="A24" s="430"/>
      <c r="B24" s="12"/>
      <c r="C24" s="431"/>
      <c r="D24" s="432"/>
      <c r="E24" s="529"/>
      <c r="F24" s="529"/>
      <c r="G24" s="529" t="s">
        <v>350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559"/>
      <c r="T24" s="433"/>
    </row>
    <row r="25" spans="1:24" x14ac:dyDescent="0.25">
      <c r="A25" s="434" t="s">
        <v>33</v>
      </c>
      <c r="B25" s="435"/>
      <c r="C25" s="431"/>
      <c r="D25" s="432"/>
      <c r="E25" s="529"/>
      <c r="F25" s="529"/>
      <c r="G25" s="529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559"/>
      <c r="T25" s="433"/>
    </row>
    <row r="26" spans="1:24" x14ac:dyDescent="0.25">
      <c r="A26" s="2" t="s">
        <v>34</v>
      </c>
      <c r="B26" s="12"/>
      <c r="C26" s="424"/>
      <c r="D26" s="671">
        <v>66871104.846571989</v>
      </c>
      <c r="E26" s="667">
        <v>62961260.846571989</v>
      </c>
      <c r="F26" s="1">
        <f t="shared" ref="F26:F36" si="10">E26/12</f>
        <v>5246771.7372143324</v>
      </c>
      <c r="G26" s="1">
        <v>3712016</v>
      </c>
      <c r="H26" s="1">
        <v>4958559</v>
      </c>
      <c r="I26" s="1">
        <f t="shared" ref="I26:I36" si="11">E26/12</f>
        <v>5246771.7372143324</v>
      </c>
      <c r="J26" s="1">
        <v>4486265</v>
      </c>
      <c r="K26" s="1">
        <v>4755571</v>
      </c>
      <c r="L26" s="1">
        <f t="shared" ref="L26:L36" si="12">E26/12</f>
        <v>5246771.7372143324</v>
      </c>
      <c r="M26" s="1">
        <v>4322729</v>
      </c>
      <c r="N26" s="1">
        <v>6216247</v>
      </c>
      <c r="O26" s="1">
        <f>G26+J26+M26</f>
        <v>12521010</v>
      </c>
      <c r="P26" s="1">
        <f>H26+K26+N26</f>
        <v>15930377</v>
      </c>
      <c r="Q26" s="1">
        <f>F26+I26+L26</f>
        <v>15740315.211642997</v>
      </c>
      <c r="R26" s="1">
        <f t="shared" ref="R26:R37" si="13">O26-Q26</f>
        <v>-3219305.2116429973</v>
      </c>
      <c r="S26" s="683">
        <f>R26/Q26</f>
        <v>-0.20452609546609973</v>
      </c>
      <c r="T26" s="433">
        <v>58900568</v>
      </c>
      <c r="U26" s="560"/>
    </row>
    <row r="27" spans="1:24" x14ac:dyDescent="0.25">
      <c r="A27" s="2" t="s">
        <v>35</v>
      </c>
      <c r="B27" s="12"/>
      <c r="C27" s="424"/>
      <c r="D27" s="671">
        <v>4804729.9032120006</v>
      </c>
      <c r="E27" s="667">
        <v>4804729.9032120006</v>
      </c>
      <c r="F27" s="1">
        <f t="shared" si="10"/>
        <v>400394.15860100003</v>
      </c>
      <c r="G27" s="1">
        <v>456571</v>
      </c>
      <c r="H27" s="1">
        <v>456571</v>
      </c>
      <c r="I27" s="1">
        <f t="shared" si="11"/>
        <v>400394.15860100003</v>
      </c>
      <c r="J27" s="1">
        <v>456620</v>
      </c>
      <c r="K27" s="1">
        <v>456620</v>
      </c>
      <c r="L27" s="1">
        <f t="shared" si="12"/>
        <v>400394.15860100003</v>
      </c>
      <c r="M27" s="1">
        <v>456630</v>
      </c>
      <c r="N27" s="1">
        <v>456630</v>
      </c>
      <c r="O27" s="1">
        <f t="shared" ref="O27:O36" si="14">G27+J27+M27</f>
        <v>1369821</v>
      </c>
      <c r="P27" s="1">
        <f t="shared" ref="P27:P36" si="15">H27+K27+N27</f>
        <v>1369821</v>
      </c>
      <c r="Q27" s="1">
        <f t="shared" ref="Q27:Q36" si="16">F27+I27+L27</f>
        <v>1201182.4758030002</v>
      </c>
      <c r="R27" s="1">
        <f t="shared" si="13"/>
        <v>168638.52419699985</v>
      </c>
      <c r="S27" s="683">
        <f>R27/Q27</f>
        <v>0.14039375997744524</v>
      </c>
      <c r="T27" s="433">
        <v>5215569</v>
      </c>
      <c r="U27" s="560"/>
    </row>
    <row r="28" spans="1:24" x14ac:dyDescent="0.25">
      <c r="A28" s="2" t="s">
        <v>36</v>
      </c>
      <c r="B28" s="12"/>
      <c r="C28" s="424"/>
      <c r="D28" s="671">
        <v>1005899.79260214</v>
      </c>
      <c r="E28" s="667">
        <v>1005899.79260214</v>
      </c>
      <c r="F28" s="1">
        <f t="shared" si="10"/>
        <v>83824.982716844999</v>
      </c>
      <c r="G28" s="1">
        <v>0</v>
      </c>
      <c r="H28" s="1">
        <v>0</v>
      </c>
      <c r="I28" s="1">
        <f t="shared" si="11"/>
        <v>83824.982716844999</v>
      </c>
      <c r="J28" s="1">
        <v>0</v>
      </c>
      <c r="K28" s="1">
        <v>0</v>
      </c>
      <c r="L28" s="1">
        <f t="shared" si="12"/>
        <v>83824.982716844999</v>
      </c>
      <c r="M28" s="1">
        <v>0</v>
      </c>
      <c r="N28" s="1">
        <v>0</v>
      </c>
      <c r="O28" s="1">
        <f t="shared" si="14"/>
        <v>0</v>
      </c>
      <c r="P28" s="1">
        <f t="shared" si="15"/>
        <v>0</v>
      </c>
      <c r="Q28" s="1">
        <f t="shared" si="16"/>
        <v>251474.948150535</v>
      </c>
      <c r="R28" s="1">
        <f t="shared" si="13"/>
        <v>-251474.948150535</v>
      </c>
      <c r="S28" s="683">
        <v>0</v>
      </c>
      <c r="T28" s="433">
        <v>0</v>
      </c>
      <c r="U28" s="560"/>
    </row>
    <row r="29" spans="1:24" x14ac:dyDescent="0.25">
      <c r="A29" s="2" t="s">
        <v>37</v>
      </c>
      <c r="B29" s="12"/>
      <c r="C29" s="424"/>
      <c r="D29" s="671">
        <v>1983741.9520602559</v>
      </c>
      <c r="E29" s="667">
        <v>1383741.9520602559</v>
      </c>
      <c r="F29" s="1">
        <f t="shared" si="10"/>
        <v>115311.82933835466</v>
      </c>
      <c r="G29" s="1">
        <v>0</v>
      </c>
      <c r="H29" s="1">
        <v>0</v>
      </c>
      <c r="I29" s="1">
        <f t="shared" si="11"/>
        <v>115311.82933835466</v>
      </c>
      <c r="J29" s="1">
        <v>0</v>
      </c>
      <c r="K29" s="1">
        <v>0</v>
      </c>
      <c r="L29" s="1">
        <f t="shared" si="12"/>
        <v>115311.82933835466</v>
      </c>
      <c r="M29" s="1">
        <v>0</v>
      </c>
      <c r="N29" s="1">
        <v>0</v>
      </c>
      <c r="O29" s="1">
        <f t="shared" si="14"/>
        <v>0</v>
      </c>
      <c r="P29" s="1">
        <f t="shared" si="15"/>
        <v>0</v>
      </c>
      <c r="Q29" s="1">
        <f t="shared" si="16"/>
        <v>345935.48801506398</v>
      </c>
      <c r="R29" s="1">
        <f t="shared" si="13"/>
        <v>-345935.48801506398</v>
      </c>
      <c r="S29" s="683">
        <v>0</v>
      </c>
      <c r="T29" s="433">
        <v>0</v>
      </c>
      <c r="U29" s="560"/>
    </row>
    <row r="30" spans="1:24" x14ac:dyDescent="0.25">
      <c r="A30" s="2" t="s">
        <v>38</v>
      </c>
      <c r="B30" s="12"/>
      <c r="C30" s="424"/>
      <c r="D30" s="671">
        <v>634347.0000000298</v>
      </c>
      <c r="E30" s="667">
        <v>4134347.0000000298</v>
      </c>
      <c r="F30" s="1">
        <f t="shared" si="10"/>
        <v>344528.91666666913</v>
      </c>
      <c r="G30" s="1">
        <v>0</v>
      </c>
      <c r="H30" s="1">
        <v>15354.89</v>
      </c>
      <c r="I30" s="1">
        <f t="shared" si="11"/>
        <v>344528.91666666913</v>
      </c>
      <c r="J30" s="1">
        <v>0</v>
      </c>
      <c r="K30" s="1">
        <v>133371.1</v>
      </c>
      <c r="L30" s="1">
        <f t="shared" si="12"/>
        <v>344528.91666666913</v>
      </c>
      <c r="M30" s="1">
        <v>0</v>
      </c>
      <c r="N30" s="1">
        <v>0</v>
      </c>
      <c r="O30" s="1">
        <f t="shared" si="14"/>
        <v>0</v>
      </c>
      <c r="P30" s="1">
        <f t="shared" si="15"/>
        <v>148725.99</v>
      </c>
      <c r="Q30" s="1">
        <f t="shared" si="16"/>
        <v>1033586.7500000075</v>
      </c>
      <c r="R30" s="1">
        <f t="shared" si="13"/>
        <v>-1033586.7500000075</v>
      </c>
      <c r="S30" s="683">
        <f>R30/Q30</f>
        <v>-1</v>
      </c>
      <c r="T30" s="433">
        <v>839524.10000000009</v>
      </c>
      <c r="U30" s="560"/>
      <c r="V30" s="566"/>
    </row>
    <row r="31" spans="1:24" x14ac:dyDescent="0.25">
      <c r="A31" s="2" t="s">
        <v>39</v>
      </c>
      <c r="B31" s="12"/>
      <c r="C31" s="424"/>
      <c r="D31" s="671">
        <v>17124680</v>
      </c>
      <c r="E31" s="667">
        <v>22687658</v>
      </c>
      <c r="F31" s="1">
        <f t="shared" si="10"/>
        <v>1890638.1666666667</v>
      </c>
      <c r="G31" s="1">
        <v>5510573</v>
      </c>
      <c r="H31" s="1">
        <v>500200</v>
      </c>
      <c r="I31" s="1">
        <f t="shared" si="11"/>
        <v>1890638.1666666667</v>
      </c>
      <c r="J31" s="1">
        <v>1787610</v>
      </c>
      <c r="K31" s="1">
        <v>144962.81</v>
      </c>
      <c r="L31" s="1">
        <f t="shared" si="12"/>
        <v>1890638.1666666667</v>
      </c>
      <c r="M31" s="1">
        <v>7602215</v>
      </c>
      <c r="N31" s="1">
        <v>1383368</v>
      </c>
      <c r="O31" s="1">
        <f t="shared" si="14"/>
        <v>14900398</v>
      </c>
      <c r="P31" s="1">
        <f t="shared" si="15"/>
        <v>2028530.81</v>
      </c>
      <c r="Q31" s="1">
        <f t="shared" si="16"/>
        <v>5671914.5</v>
      </c>
      <c r="R31" s="1">
        <f t="shared" si="13"/>
        <v>9228483.5</v>
      </c>
      <c r="S31" s="683">
        <f>R31/Q31</f>
        <v>1.6270491207157654</v>
      </c>
      <c r="T31" s="433">
        <v>7134726.9799999995</v>
      </c>
      <c r="U31" s="560"/>
      <c r="V31" s="566"/>
      <c r="W31" s="560"/>
    </row>
    <row r="32" spans="1:24" x14ac:dyDescent="0.25">
      <c r="A32" s="2" t="s">
        <v>40</v>
      </c>
      <c r="B32" s="12"/>
      <c r="C32" s="424"/>
      <c r="D32" s="671">
        <v>0</v>
      </c>
      <c r="E32" s="667">
        <v>0</v>
      </c>
      <c r="F32" s="1">
        <f t="shared" si="10"/>
        <v>0</v>
      </c>
      <c r="G32" s="1">
        <v>0</v>
      </c>
      <c r="H32" s="1">
        <v>0</v>
      </c>
      <c r="I32" s="1">
        <f t="shared" si="11"/>
        <v>0</v>
      </c>
      <c r="J32" s="1">
        <v>0</v>
      </c>
      <c r="K32" s="1">
        <v>27.8</v>
      </c>
      <c r="L32" s="1">
        <f t="shared" si="12"/>
        <v>0</v>
      </c>
      <c r="M32" s="1">
        <v>0</v>
      </c>
      <c r="N32" s="1">
        <v>235.4</v>
      </c>
      <c r="O32" s="1">
        <f t="shared" si="14"/>
        <v>0</v>
      </c>
      <c r="P32" s="1">
        <f t="shared" si="15"/>
        <v>263.2</v>
      </c>
      <c r="Q32" s="1">
        <f t="shared" si="16"/>
        <v>0</v>
      </c>
      <c r="R32" s="1">
        <f t="shared" si="13"/>
        <v>0</v>
      </c>
      <c r="S32" s="683">
        <v>0</v>
      </c>
      <c r="T32" s="433">
        <v>182667.87</v>
      </c>
      <c r="U32" s="560"/>
    </row>
    <row r="33" spans="1:22" x14ac:dyDescent="0.25">
      <c r="A33" s="2" t="s">
        <v>41</v>
      </c>
      <c r="B33" s="12"/>
      <c r="C33" s="424"/>
      <c r="D33" s="671">
        <v>2900000</v>
      </c>
      <c r="E33" s="667">
        <v>2244318</v>
      </c>
      <c r="F33" s="1">
        <f t="shared" si="10"/>
        <v>187026.5</v>
      </c>
      <c r="G33" s="1">
        <v>0</v>
      </c>
      <c r="H33" s="1">
        <v>0</v>
      </c>
      <c r="I33" s="1">
        <f t="shared" si="11"/>
        <v>187026.5</v>
      </c>
      <c r="J33" s="1">
        <v>416150</v>
      </c>
      <c r="K33" s="1">
        <v>96019.75</v>
      </c>
      <c r="L33" s="1">
        <f t="shared" si="12"/>
        <v>187026.5</v>
      </c>
      <c r="M33" s="1">
        <v>729482</v>
      </c>
      <c r="N33" s="1">
        <v>651448.19999999995</v>
      </c>
      <c r="O33" s="1">
        <f t="shared" si="14"/>
        <v>1145632</v>
      </c>
      <c r="P33" s="1">
        <f t="shared" si="15"/>
        <v>747467.95</v>
      </c>
      <c r="Q33" s="1">
        <f t="shared" si="16"/>
        <v>561079.5</v>
      </c>
      <c r="R33" s="1">
        <f t="shared" si="13"/>
        <v>584552.5</v>
      </c>
      <c r="S33" s="683">
        <f>R33/Q33</f>
        <v>1.0418354261740093</v>
      </c>
      <c r="T33" s="433">
        <v>2974827.76</v>
      </c>
      <c r="U33" s="560"/>
    </row>
    <row r="34" spans="1:22" x14ac:dyDescent="0.25">
      <c r="A34" s="13" t="s">
        <v>42</v>
      </c>
      <c r="B34" s="12"/>
      <c r="C34" s="424"/>
      <c r="D34" s="671">
        <v>0</v>
      </c>
      <c r="E34" s="667">
        <v>0</v>
      </c>
      <c r="F34" s="1">
        <f t="shared" si="10"/>
        <v>0</v>
      </c>
      <c r="G34" s="1">
        <v>0</v>
      </c>
      <c r="H34" s="1">
        <v>0</v>
      </c>
      <c r="I34" s="1">
        <f t="shared" si="11"/>
        <v>0</v>
      </c>
      <c r="J34" s="1">
        <v>0</v>
      </c>
      <c r="K34" s="1">
        <v>0</v>
      </c>
      <c r="L34" s="1">
        <f t="shared" si="12"/>
        <v>0</v>
      </c>
      <c r="M34" s="1">
        <v>0</v>
      </c>
      <c r="N34" s="1">
        <v>0</v>
      </c>
      <c r="O34" s="1">
        <f t="shared" si="14"/>
        <v>0</v>
      </c>
      <c r="P34" s="1">
        <f t="shared" si="15"/>
        <v>0</v>
      </c>
      <c r="Q34" s="1">
        <f t="shared" si="16"/>
        <v>0</v>
      </c>
      <c r="R34" s="1">
        <f t="shared" si="13"/>
        <v>0</v>
      </c>
      <c r="S34" s="683">
        <v>0</v>
      </c>
      <c r="T34" s="433">
        <f t="shared" ref="T26:T36" si="17">D34</f>
        <v>0</v>
      </c>
      <c r="U34" s="560"/>
    </row>
    <row r="35" spans="1:22" x14ac:dyDescent="0.25">
      <c r="A35" s="2" t="s">
        <v>43</v>
      </c>
      <c r="B35" s="12"/>
      <c r="C35" s="424"/>
      <c r="D35" s="671">
        <v>30310847.001480002</v>
      </c>
      <c r="E35" s="667">
        <v>30475691.001480002</v>
      </c>
      <c r="F35" s="1">
        <f t="shared" si="10"/>
        <v>2539640.9167900002</v>
      </c>
      <c r="G35" s="1">
        <v>5434596</v>
      </c>
      <c r="H35" s="1">
        <f>1071215.28+2829572</f>
        <v>3900787.2800000003</v>
      </c>
      <c r="I35" s="1">
        <f t="shared" si="11"/>
        <v>2539640.9167900002</v>
      </c>
      <c r="J35" s="1">
        <f>3696619+621230</f>
        <v>4317849</v>
      </c>
      <c r="K35" s="1">
        <f>629975.67+8275353</f>
        <v>8905328.6699999999</v>
      </c>
      <c r="L35" s="1">
        <f t="shared" si="12"/>
        <v>2539640.9167900002</v>
      </c>
      <c r="M35" s="1">
        <v>7765505</v>
      </c>
      <c r="N35" s="1">
        <v>5603678</v>
      </c>
      <c r="O35" s="1">
        <f t="shared" si="14"/>
        <v>17517950</v>
      </c>
      <c r="P35" s="1">
        <f t="shared" si="15"/>
        <v>18409793.949999999</v>
      </c>
      <c r="Q35" s="1">
        <f t="shared" si="16"/>
        <v>7618922.7503700005</v>
      </c>
      <c r="R35" s="1">
        <f t="shared" si="13"/>
        <v>9899027.2496300004</v>
      </c>
      <c r="S35" s="683">
        <f>R35/Q35</f>
        <v>1.2992686202454633</v>
      </c>
      <c r="T35" s="433">
        <v>24665034.800000004</v>
      </c>
      <c r="U35" s="560"/>
    </row>
    <row r="36" spans="1:22" x14ac:dyDescent="0.25">
      <c r="A36" s="2" t="s">
        <v>44</v>
      </c>
      <c r="B36" s="12"/>
      <c r="C36" s="424"/>
      <c r="D36" s="671">
        <v>0</v>
      </c>
      <c r="E36" s="667">
        <v>0</v>
      </c>
      <c r="F36" s="1">
        <f t="shared" si="10"/>
        <v>0</v>
      </c>
      <c r="G36" s="1">
        <v>0</v>
      </c>
      <c r="H36" s="1">
        <v>0</v>
      </c>
      <c r="I36" s="1">
        <f t="shared" si="11"/>
        <v>0</v>
      </c>
      <c r="J36" s="1">
        <v>0</v>
      </c>
      <c r="K36" s="1">
        <v>0</v>
      </c>
      <c r="L36" s="1">
        <f t="shared" si="12"/>
        <v>0</v>
      </c>
      <c r="M36" s="1">
        <v>0</v>
      </c>
      <c r="N36" s="1">
        <v>0</v>
      </c>
      <c r="O36" s="1">
        <f t="shared" si="14"/>
        <v>0</v>
      </c>
      <c r="P36" s="1">
        <f t="shared" si="15"/>
        <v>0</v>
      </c>
      <c r="Q36" s="1">
        <f t="shared" si="16"/>
        <v>0</v>
      </c>
      <c r="R36" s="1">
        <f t="shared" si="13"/>
        <v>0</v>
      </c>
      <c r="S36" s="683">
        <v>0</v>
      </c>
      <c r="T36" s="433">
        <f t="shared" si="17"/>
        <v>0</v>
      </c>
    </row>
    <row r="37" spans="1:22" x14ac:dyDescent="0.25">
      <c r="A37" s="437" t="s">
        <v>45</v>
      </c>
      <c r="B37" s="438"/>
      <c r="C37" s="439">
        <v>0</v>
      </c>
      <c r="D37" s="591">
        <f>SUM(D26:D36)</f>
        <v>125635350.49592641</v>
      </c>
      <c r="E37" s="591">
        <f>SUM(E26:E36)</f>
        <v>129697646.49592641</v>
      </c>
      <c r="F37" s="591">
        <f>SUM(F26:F36)</f>
        <v>10808137.207993869</v>
      </c>
      <c r="G37" s="591">
        <f t="shared" ref="G37:L37" si="18">SUM(G26:G36)</f>
        <v>15113756</v>
      </c>
      <c r="H37" s="591">
        <f t="shared" si="18"/>
        <v>9831472.1699999999</v>
      </c>
      <c r="I37" s="591">
        <f t="shared" si="18"/>
        <v>10808137.207993869</v>
      </c>
      <c r="J37" s="591">
        <f t="shared" si="18"/>
        <v>11464494</v>
      </c>
      <c r="K37" s="591">
        <f t="shared" si="18"/>
        <v>14491901.129999999</v>
      </c>
      <c r="L37" s="591">
        <f t="shared" si="18"/>
        <v>10808137.207993869</v>
      </c>
      <c r="M37" s="591">
        <f t="shared" ref="M37:T37" si="19">SUM(M26:M36)</f>
        <v>20876561</v>
      </c>
      <c r="N37" s="591">
        <f t="shared" si="19"/>
        <v>14311606.6</v>
      </c>
      <c r="O37" s="591">
        <f t="shared" si="19"/>
        <v>47454811</v>
      </c>
      <c r="P37" s="591">
        <f>SUM(P26:P36)</f>
        <v>38634979.899999991</v>
      </c>
      <c r="Q37" s="591">
        <f>SUM(Q26:Q36)</f>
        <v>32424411.623981602</v>
      </c>
      <c r="R37" s="591">
        <f t="shared" si="13"/>
        <v>15030399.376018398</v>
      </c>
      <c r="S37" s="608">
        <f>R37/Q37</f>
        <v>0.46355195432140639</v>
      </c>
      <c r="T37" s="592">
        <f t="shared" si="19"/>
        <v>99912918.51000002</v>
      </c>
      <c r="U37" s="560"/>
      <c r="V37" s="560"/>
    </row>
    <row r="38" spans="1:22" x14ac:dyDescent="0.25">
      <c r="A38" s="430"/>
      <c r="B38" s="12"/>
      <c r="C38" s="431"/>
      <c r="D38" s="432"/>
      <c r="E38" s="529"/>
      <c r="F38" s="529"/>
      <c r="G38" s="529"/>
      <c r="H38" s="530"/>
      <c r="I38" s="529"/>
      <c r="J38" s="529"/>
      <c r="K38" s="1"/>
      <c r="L38" s="1"/>
      <c r="M38" s="1"/>
      <c r="N38" s="1"/>
      <c r="O38" s="1"/>
      <c r="P38" s="1"/>
      <c r="Q38" s="1"/>
      <c r="R38" s="1"/>
      <c r="S38" s="1"/>
      <c r="T38" s="433"/>
    </row>
    <row r="39" spans="1:22" x14ac:dyDescent="0.25">
      <c r="A39" s="440" t="s">
        <v>46</v>
      </c>
      <c r="B39" s="12"/>
      <c r="C39" s="441">
        <v>39223554</v>
      </c>
      <c r="D39" s="586">
        <f>D23-D37</f>
        <v>51129.50407359004</v>
      </c>
      <c r="E39" s="776">
        <f>E23-E37</f>
        <v>61711.50407359004</v>
      </c>
      <c r="F39" s="587">
        <f>+F23-F37</f>
        <v>5142.6253394633532</v>
      </c>
      <c r="G39" s="587">
        <f>+G23-G37</f>
        <v>-9755648</v>
      </c>
      <c r="H39" s="587">
        <f t="shared" ref="H39:T39" si="20">+H23-H37</f>
        <v>-7265725.0899999999</v>
      </c>
      <c r="I39" s="587">
        <f>+I23-I37</f>
        <v>5142.6253394633532</v>
      </c>
      <c r="J39" s="587">
        <f t="shared" si="20"/>
        <v>-7251325</v>
      </c>
      <c r="K39" s="807">
        <f t="shared" si="20"/>
        <v>-10666330.149999999</v>
      </c>
      <c r="L39" s="808">
        <f t="shared" si="20"/>
        <v>5142.6253394633532</v>
      </c>
      <c r="M39" s="808">
        <f t="shared" si="20"/>
        <v>-16814662.490000002</v>
      </c>
      <c r="N39" s="808">
        <f t="shared" si="20"/>
        <v>-8381625.3699999982</v>
      </c>
      <c r="O39" s="776">
        <f t="shared" si="20"/>
        <v>-18563635.490000002</v>
      </c>
      <c r="P39" s="587">
        <f t="shared" si="20"/>
        <v>-11055680.609999988</v>
      </c>
      <c r="Q39" s="587">
        <f t="shared" si="20"/>
        <v>15427.87601839751</v>
      </c>
      <c r="R39" s="587">
        <f t="shared" si="20"/>
        <v>-11481735.386018395</v>
      </c>
      <c r="S39" s="577">
        <f>+S23-S37</f>
        <v>-0.35415979811175552</v>
      </c>
      <c r="T39" s="687">
        <f t="shared" si="20"/>
        <v>1147908.2399999946</v>
      </c>
      <c r="U39" s="560"/>
    </row>
    <row r="40" spans="1:22" x14ac:dyDescent="0.25">
      <c r="A40" s="2" t="s">
        <v>47</v>
      </c>
      <c r="B40" s="12"/>
      <c r="C40" s="424"/>
      <c r="D40" s="436">
        <v>0</v>
      </c>
      <c r="E40" s="528"/>
      <c r="F40" s="528">
        <v>0</v>
      </c>
      <c r="G40" s="528">
        <v>0</v>
      </c>
      <c r="H40" s="425">
        <v>0</v>
      </c>
      <c r="I40" s="425">
        <v>0</v>
      </c>
      <c r="J40" s="425">
        <v>0</v>
      </c>
      <c r="K40" s="425">
        <v>13539182</v>
      </c>
      <c r="L40" s="425">
        <v>0</v>
      </c>
      <c r="M40" s="425">
        <v>0</v>
      </c>
      <c r="N40" s="425">
        <v>24099751</v>
      </c>
      <c r="O40" s="425">
        <v>0</v>
      </c>
      <c r="P40" s="425">
        <v>0</v>
      </c>
      <c r="Q40" s="425">
        <v>0</v>
      </c>
      <c r="R40" s="1">
        <v>0</v>
      </c>
      <c r="S40" s="3">
        <v>0</v>
      </c>
      <c r="T40" s="426">
        <v>50247280.560000002</v>
      </c>
    </row>
    <row r="41" spans="1:22" x14ac:dyDescent="0.25">
      <c r="A41" s="13" t="s">
        <v>48</v>
      </c>
      <c r="B41" s="12"/>
      <c r="C41" s="424"/>
      <c r="D41" s="436">
        <v>0</v>
      </c>
      <c r="E41" s="528"/>
      <c r="F41" s="528">
        <v>0</v>
      </c>
      <c r="G41" s="528">
        <v>0</v>
      </c>
      <c r="H41" s="425">
        <v>0</v>
      </c>
      <c r="I41" s="425">
        <v>0</v>
      </c>
      <c r="J41" s="425">
        <v>0</v>
      </c>
      <c r="K41" s="425">
        <v>0</v>
      </c>
      <c r="L41" s="425">
        <v>0</v>
      </c>
      <c r="M41" s="425">
        <v>0</v>
      </c>
      <c r="N41" s="425">
        <v>0</v>
      </c>
      <c r="O41" s="425">
        <v>0</v>
      </c>
      <c r="P41" s="425">
        <v>0</v>
      </c>
      <c r="Q41" s="425">
        <v>0</v>
      </c>
      <c r="R41" s="1">
        <v>0</v>
      </c>
      <c r="S41" s="3">
        <v>0</v>
      </c>
      <c r="T41" s="426">
        <v>0</v>
      </c>
    </row>
    <row r="42" spans="1:22" x14ac:dyDescent="0.25">
      <c r="A42" s="2" t="s">
        <v>49</v>
      </c>
      <c r="B42" s="12"/>
      <c r="C42" s="424"/>
      <c r="D42" s="442">
        <v>0</v>
      </c>
      <c r="E42" s="565"/>
      <c r="F42" s="565">
        <v>0</v>
      </c>
      <c r="G42" s="565">
        <v>0</v>
      </c>
      <c r="H42" s="443">
        <v>0</v>
      </c>
      <c r="I42" s="443">
        <v>0</v>
      </c>
      <c r="J42" s="443">
        <v>0</v>
      </c>
      <c r="K42" s="425">
        <v>0</v>
      </c>
      <c r="L42" s="425">
        <v>0</v>
      </c>
      <c r="M42" s="425">
        <v>0</v>
      </c>
      <c r="N42" s="425">
        <v>0</v>
      </c>
      <c r="O42" s="425">
        <v>0</v>
      </c>
      <c r="P42" s="425">
        <v>0</v>
      </c>
      <c r="Q42" s="425">
        <v>0</v>
      </c>
      <c r="R42" s="1">
        <v>0</v>
      </c>
      <c r="S42" s="3">
        <v>0</v>
      </c>
      <c r="T42" s="426">
        <v>0</v>
      </c>
    </row>
    <row r="43" spans="1:22" ht="25.5" x14ac:dyDescent="0.25">
      <c r="A43" s="444" t="s">
        <v>50</v>
      </c>
      <c r="B43" s="445"/>
      <c r="C43" s="446">
        <v>39223554</v>
      </c>
      <c r="D43" s="590">
        <f>D39+SUM(D40:D42)</f>
        <v>51129.50407359004</v>
      </c>
      <c r="E43" s="590">
        <f>E39+SUM(E40:E42)</f>
        <v>61711.50407359004</v>
      </c>
      <c r="F43" s="590">
        <f>SUM(F39:F42)</f>
        <v>5142.6253394633532</v>
      </c>
      <c r="G43" s="590">
        <f>SUM(G39:G42)</f>
        <v>-9755648</v>
      </c>
      <c r="H43" s="590">
        <f t="shared" ref="H43:T43" si="21">SUM(H39:H42)</f>
        <v>-7265725.0899999999</v>
      </c>
      <c r="I43" s="590">
        <f t="shared" si="21"/>
        <v>5142.6253394633532</v>
      </c>
      <c r="J43" s="590">
        <f t="shared" si="21"/>
        <v>-7251325</v>
      </c>
      <c r="K43" s="590">
        <f t="shared" si="21"/>
        <v>2872851.8500000015</v>
      </c>
      <c r="L43" s="590">
        <f t="shared" si="21"/>
        <v>5142.6253394633532</v>
      </c>
      <c r="M43" s="590">
        <f t="shared" si="21"/>
        <v>-16814662.490000002</v>
      </c>
      <c r="N43" s="590">
        <f t="shared" si="21"/>
        <v>15718125.630000003</v>
      </c>
      <c r="O43" s="590">
        <f t="shared" si="21"/>
        <v>-18563635.490000002</v>
      </c>
      <c r="P43" s="590">
        <f t="shared" si="21"/>
        <v>-11055680.609999988</v>
      </c>
      <c r="Q43" s="590">
        <f t="shared" si="21"/>
        <v>15427.87601839751</v>
      </c>
      <c r="R43" s="590">
        <f t="shared" si="21"/>
        <v>-11481735.386018395</v>
      </c>
      <c r="S43" s="684">
        <f>SUM(S39:S42)</f>
        <v>-0.35415979811175552</v>
      </c>
      <c r="T43" s="777">
        <f t="shared" si="21"/>
        <v>51395188.799999997</v>
      </c>
    </row>
    <row r="44" spans="1:22" x14ac:dyDescent="0.25">
      <c r="A44" s="2" t="s">
        <v>51</v>
      </c>
      <c r="B44" s="12"/>
      <c r="C44" s="424"/>
      <c r="D44" s="442">
        <v>0</v>
      </c>
      <c r="E44" s="565"/>
      <c r="F44" s="565"/>
      <c r="G44" s="565"/>
      <c r="H44" s="443">
        <v>0</v>
      </c>
      <c r="I44" s="443"/>
      <c r="J44" s="443">
        <v>0</v>
      </c>
      <c r="K44" s="425">
        <v>0</v>
      </c>
      <c r="L44" s="425"/>
      <c r="M44" s="425">
        <v>0</v>
      </c>
      <c r="N44" s="425">
        <v>0</v>
      </c>
      <c r="O44" s="425">
        <v>0</v>
      </c>
      <c r="P44" s="425"/>
      <c r="Q44" s="425"/>
      <c r="R44" s="447">
        <v>0</v>
      </c>
      <c r="S44" s="778" t="s">
        <v>16</v>
      </c>
      <c r="T44" s="779">
        <v>0</v>
      </c>
    </row>
    <row r="45" spans="1:22" x14ac:dyDescent="0.25">
      <c r="A45" s="440" t="s">
        <v>52</v>
      </c>
      <c r="B45" s="12"/>
      <c r="C45" s="441">
        <v>39223554</v>
      </c>
      <c r="D45" s="586">
        <f>D43-D44</f>
        <v>51129.50407359004</v>
      </c>
      <c r="E45" s="776">
        <f>E43-E44</f>
        <v>61711.50407359004</v>
      </c>
      <c r="F45" s="587">
        <f>SUM(F43:F44)</f>
        <v>5142.6253394633532</v>
      </c>
      <c r="G45" s="587">
        <f>SUM(G43:G44)</f>
        <v>-9755648</v>
      </c>
      <c r="H45" s="587">
        <f t="shared" ref="H45:T45" si="22">SUM(H43:H44)</f>
        <v>-7265725.0899999999</v>
      </c>
      <c r="I45" s="587">
        <f t="shared" si="22"/>
        <v>5142.6253394633532</v>
      </c>
      <c r="J45" s="587">
        <f t="shared" si="22"/>
        <v>-7251325</v>
      </c>
      <c r="K45" s="587">
        <f t="shared" si="22"/>
        <v>2872851.8500000015</v>
      </c>
      <c r="L45" s="591">
        <f t="shared" si="22"/>
        <v>5142.6253394633532</v>
      </c>
      <c r="M45" s="591">
        <f t="shared" si="22"/>
        <v>-16814662.490000002</v>
      </c>
      <c r="N45" s="591">
        <f t="shared" si="22"/>
        <v>15718125.630000003</v>
      </c>
      <c r="O45" s="587">
        <f t="shared" si="22"/>
        <v>-18563635.490000002</v>
      </c>
      <c r="P45" s="587">
        <f t="shared" si="22"/>
        <v>-11055680.609999988</v>
      </c>
      <c r="Q45" s="587">
        <f t="shared" si="22"/>
        <v>15427.87601839751</v>
      </c>
      <c r="R45" s="587">
        <f t="shared" si="22"/>
        <v>-11481735.386018395</v>
      </c>
      <c r="S45" s="577">
        <f>SUM(S43:S44)</f>
        <v>-0.35415979811175552</v>
      </c>
      <c r="T45" s="780">
        <f t="shared" si="22"/>
        <v>51395188.799999997</v>
      </c>
    </row>
    <row r="46" spans="1:22" x14ac:dyDescent="0.25">
      <c r="A46" s="2" t="s">
        <v>53</v>
      </c>
      <c r="B46" s="12"/>
      <c r="C46" s="424"/>
      <c r="D46" s="436">
        <v>0</v>
      </c>
      <c r="E46" s="528"/>
      <c r="F46" s="528"/>
      <c r="G46" s="528"/>
      <c r="H46" s="425">
        <v>0</v>
      </c>
      <c r="I46" s="425"/>
      <c r="J46" s="425">
        <v>0</v>
      </c>
      <c r="K46" s="425">
        <v>0</v>
      </c>
      <c r="L46" s="425"/>
      <c r="M46" s="425">
        <v>0</v>
      </c>
      <c r="N46" s="425">
        <v>0</v>
      </c>
      <c r="O46" s="425">
        <v>0</v>
      </c>
      <c r="P46" s="425"/>
      <c r="Q46" s="425"/>
      <c r="R46" s="1"/>
      <c r="S46" s="781"/>
      <c r="T46" s="779">
        <v>0</v>
      </c>
    </row>
    <row r="47" spans="1:22" ht="25.5" x14ac:dyDescent="0.25">
      <c r="A47" s="448" t="s">
        <v>54</v>
      </c>
      <c r="B47" s="449"/>
      <c r="C47" s="450">
        <v>39223554</v>
      </c>
      <c r="D47" s="590">
        <f t="shared" ref="D47:I47" si="23">SUM(D45:D46)</f>
        <v>51129.50407359004</v>
      </c>
      <c r="E47" s="590">
        <f t="shared" si="23"/>
        <v>61711.50407359004</v>
      </c>
      <c r="F47" s="590">
        <f t="shared" si="23"/>
        <v>5142.6253394633532</v>
      </c>
      <c r="G47" s="590">
        <f t="shared" si="23"/>
        <v>-9755648</v>
      </c>
      <c r="H47" s="590">
        <f t="shared" si="23"/>
        <v>-7265725.0899999999</v>
      </c>
      <c r="I47" s="590">
        <f t="shared" si="23"/>
        <v>5142.6253394633532</v>
      </c>
      <c r="J47" s="590">
        <f t="shared" ref="J47:T47" si="24">SUM(J45:J46)</f>
        <v>-7251325</v>
      </c>
      <c r="K47" s="590">
        <f t="shared" si="24"/>
        <v>2872851.8500000015</v>
      </c>
      <c r="L47" s="590">
        <f t="shared" si="24"/>
        <v>5142.6253394633532</v>
      </c>
      <c r="M47" s="590">
        <f t="shared" si="24"/>
        <v>-16814662.490000002</v>
      </c>
      <c r="N47" s="590">
        <f t="shared" si="24"/>
        <v>15718125.630000003</v>
      </c>
      <c r="O47" s="590">
        <f t="shared" si="24"/>
        <v>-18563635.490000002</v>
      </c>
      <c r="P47" s="590">
        <f t="shared" si="24"/>
        <v>-11055680.609999988</v>
      </c>
      <c r="Q47" s="590">
        <f t="shared" si="24"/>
        <v>15427.87601839751</v>
      </c>
      <c r="R47" s="590">
        <f t="shared" si="24"/>
        <v>-11481735.386018395</v>
      </c>
      <c r="S47" s="684">
        <f>SUM(S45:S46)</f>
        <v>-0.35415979811175552</v>
      </c>
      <c r="T47" s="777">
        <f t="shared" si="24"/>
        <v>51395188.799999997</v>
      </c>
    </row>
    <row r="48" spans="1:22" x14ac:dyDescent="0.25">
      <c r="A48" s="451" t="s">
        <v>55</v>
      </c>
      <c r="B48" s="452"/>
      <c r="C48" s="453"/>
      <c r="D48" s="531">
        <v>0</v>
      </c>
      <c r="E48" s="532"/>
      <c r="F48" s="532"/>
      <c r="G48" s="532"/>
      <c r="H48" s="533">
        <v>0</v>
      </c>
      <c r="I48" s="533"/>
      <c r="J48" s="533">
        <v>0</v>
      </c>
      <c r="K48" s="533">
        <v>0</v>
      </c>
      <c r="L48" s="532"/>
      <c r="M48" s="532">
        <v>0</v>
      </c>
      <c r="N48" s="533">
        <v>0</v>
      </c>
      <c r="O48" s="533">
        <v>0</v>
      </c>
      <c r="P48" s="533"/>
      <c r="Q48" s="533"/>
      <c r="R48" s="534"/>
      <c r="S48" s="782"/>
      <c r="T48" s="783">
        <v>0</v>
      </c>
    </row>
    <row r="49" spans="1:20" x14ac:dyDescent="0.25">
      <c r="A49" s="454" t="s">
        <v>56</v>
      </c>
      <c r="B49" s="417"/>
      <c r="C49" s="455">
        <v>39223554</v>
      </c>
      <c r="D49" s="589">
        <f>D47+D48</f>
        <v>51129.50407359004</v>
      </c>
      <c r="E49" s="589">
        <f>E47+E48</f>
        <v>61711.50407359004</v>
      </c>
      <c r="F49" s="589">
        <f>SUM(F47:F48)</f>
        <v>5142.6253394633532</v>
      </c>
      <c r="G49" s="589">
        <f>SUM(G47:G48)</f>
        <v>-9755648</v>
      </c>
      <c r="H49" s="589">
        <f t="shared" ref="H49:T49" si="25">SUM(H47:H48)</f>
        <v>-7265725.0899999999</v>
      </c>
      <c r="I49" s="589">
        <f t="shared" si="25"/>
        <v>5142.6253394633532</v>
      </c>
      <c r="J49" s="589">
        <f t="shared" si="25"/>
        <v>-7251325</v>
      </c>
      <c r="K49" s="589">
        <f t="shared" si="25"/>
        <v>2872851.8500000015</v>
      </c>
      <c r="L49" s="589">
        <f t="shared" si="25"/>
        <v>5142.6253394633532</v>
      </c>
      <c r="M49" s="589">
        <f t="shared" si="25"/>
        <v>-16814662.490000002</v>
      </c>
      <c r="N49" s="589">
        <f t="shared" si="25"/>
        <v>15718125.630000003</v>
      </c>
      <c r="O49" s="589">
        <f t="shared" si="25"/>
        <v>-18563635.490000002</v>
      </c>
      <c r="P49" s="589">
        <f t="shared" si="25"/>
        <v>-11055680.609999988</v>
      </c>
      <c r="Q49" s="589">
        <f t="shared" si="25"/>
        <v>15427.87601839751</v>
      </c>
      <c r="R49" s="589">
        <f t="shared" si="25"/>
        <v>-11481735.386018395</v>
      </c>
      <c r="S49" s="784">
        <f>SUM(S47:S48)</f>
        <v>-0.35415979811175552</v>
      </c>
      <c r="T49" s="785">
        <f t="shared" si="25"/>
        <v>51395188.799999997</v>
      </c>
    </row>
  </sheetData>
  <mergeCells count="4">
    <mergeCell ref="A2:A3"/>
    <mergeCell ref="B2:B3"/>
    <mergeCell ref="D2:T2"/>
    <mergeCell ref="A1:T1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zoomScaleNormal="100" workbookViewId="0">
      <selection activeCell="N10" sqref="N10"/>
    </sheetView>
  </sheetViews>
  <sheetFormatPr defaultRowHeight="15" x14ac:dyDescent="0.25"/>
  <cols>
    <col min="1" max="1" width="14" customWidth="1"/>
    <col min="2" max="2" width="14.7109375" customWidth="1"/>
    <col min="3" max="3" width="14.140625" customWidth="1"/>
    <col min="4" max="4" width="14.7109375" bestFit="1" customWidth="1"/>
    <col min="5" max="5" width="14.28515625" customWidth="1"/>
    <col min="6" max="6" width="14.7109375" customWidth="1"/>
    <col min="10" max="10" width="10.7109375" customWidth="1"/>
  </cols>
  <sheetData>
    <row r="1" spans="1:6" x14ac:dyDescent="0.25">
      <c r="C1" s="823" t="s">
        <v>356</v>
      </c>
      <c r="D1" s="823"/>
      <c r="E1" s="823"/>
    </row>
    <row r="2" spans="1:6" ht="25.5" x14ac:dyDescent="0.25">
      <c r="A2" s="4" t="s">
        <v>399</v>
      </c>
      <c r="B2" s="4" t="s">
        <v>400</v>
      </c>
      <c r="C2" s="4" t="s">
        <v>396</v>
      </c>
      <c r="D2" s="4" t="s">
        <v>397</v>
      </c>
      <c r="E2" s="4" t="s">
        <v>402</v>
      </c>
      <c r="F2" s="4" t="s">
        <v>403</v>
      </c>
    </row>
    <row r="3" spans="1:6" x14ac:dyDescent="0.25">
      <c r="A3" s="566">
        <v>0</v>
      </c>
      <c r="B3" s="566">
        <v>0</v>
      </c>
      <c r="C3" s="566">
        <v>0</v>
      </c>
      <c r="D3" s="566">
        <v>0</v>
      </c>
      <c r="E3" s="566">
        <v>0</v>
      </c>
      <c r="F3" s="566">
        <v>0</v>
      </c>
    </row>
    <row r="6" spans="1:6" x14ac:dyDescent="0.25">
      <c r="B6" s="824" t="s">
        <v>357</v>
      </c>
      <c r="C6" s="824"/>
      <c r="D6" s="824"/>
      <c r="E6" s="824"/>
    </row>
    <row r="7" spans="1:6" ht="60" x14ac:dyDescent="0.25">
      <c r="B7" s="809" t="s">
        <v>419</v>
      </c>
      <c r="C7" s="809" t="s">
        <v>420</v>
      </c>
      <c r="D7" s="809" t="s">
        <v>423</v>
      </c>
      <c r="E7" s="809"/>
    </row>
    <row r="8" spans="1:6" x14ac:dyDescent="0.25">
      <c r="B8" s="561">
        <v>17168</v>
      </c>
      <c r="C8" s="561">
        <v>13633</v>
      </c>
      <c r="D8" s="568">
        <v>12321</v>
      </c>
      <c r="E8" s="569"/>
    </row>
    <row r="9" spans="1:6" x14ac:dyDescent="0.25">
      <c r="E9" s="620"/>
      <c r="F9" s="620"/>
    </row>
    <row r="11" spans="1:6" x14ac:dyDescent="0.25">
      <c r="B11" s="562" t="s">
        <v>358</v>
      </c>
    </row>
    <row r="12" spans="1:6" x14ac:dyDescent="0.25">
      <c r="B12" t="s">
        <v>421</v>
      </c>
      <c r="C12" t="s">
        <v>422</v>
      </c>
    </row>
    <row r="13" spans="1:6" x14ac:dyDescent="0.25">
      <c r="B13" s="561">
        <v>47454811</v>
      </c>
      <c r="C13" s="561">
        <v>32424411.623981602</v>
      </c>
    </row>
    <row r="131" spans="10:10" x14ac:dyDescent="0.25">
      <c r="J131" t="s">
        <v>350</v>
      </c>
    </row>
  </sheetData>
  <mergeCells count="2">
    <mergeCell ref="C1:E1"/>
    <mergeCell ref="B6:E6"/>
  </mergeCells>
  <pageMargins left="0.7" right="0.7" top="0.75" bottom="0.75" header="0.3" footer="0.3"/>
  <pageSetup paperSize="9" scale="95" orientation="portrait" r:id="rId1"/>
  <rowBreaks count="2" manualBreakCount="2">
    <brk id="45" max="7" man="1"/>
    <brk id="91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S53"/>
  <sheetViews>
    <sheetView zoomScaleNormal="100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M12" sqref="M12"/>
    </sheetView>
  </sheetViews>
  <sheetFormatPr defaultRowHeight="15" x14ac:dyDescent="0.25"/>
  <cols>
    <col min="1" max="1" width="34.7109375" bestFit="1" customWidth="1"/>
    <col min="2" max="2" width="3.140625" bestFit="1" customWidth="1"/>
    <col min="3" max="3" width="6.85546875" bestFit="1" customWidth="1"/>
    <col min="4" max="4" width="6.28515625" customWidth="1"/>
    <col min="5" max="5" width="8.28515625" customWidth="1"/>
    <col min="6" max="6" width="6.85546875" customWidth="1"/>
    <col min="7" max="7" width="7.42578125" customWidth="1"/>
    <col min="8" max="8" width="8.5703125" customWidth="1"/>
    <col min="9" max="10" width="7" bestFit="1" customWidth="1"/>
    <col min="11" max="12" width="6.42578125" bestFit="1" customWidth="1"/>
    <col min="13" max="13" width="6.85546875" bestFit="1" customWidth="1"/>
    <col min="16" max="16" width="14" bestFit="1" customWidth="1"/>
    <col min="18" max="19" width="14" bestFit="1" customWidth="1"/>
  </cols>
  <sheetData>
    <row r="1" spans="1:13" x14ac:dyDescent="0.25">
      <c r="A1" s="825" t="s">
        <v>406</v>
      </c>
      <c r="B1" s="825"/>
      <c r="C1" s="825"/>
      <c r="D1" s="825"/>
      <c r="E1" s="825"/>
      <c r="F1" s="825"/>
      <c r="G1" s="825"/>
      <c r="H1" s="825"/>
      <c r="I1" s="825"/>
      <c r="J1" s="825"/>
      <c r="K1" s="825"/>
      <c r="L1" s="825"/>
      <c r="M1" s="825"/>
    </row>
    <row r="2" spans="1:13" x14ac:dyDescent="0.25">
      <c r="A2" s="826" t="s">
        <v>117</v>
      </c>
      <c r="B2" s="828" t="s">
        <v>1</v>
      </c>
      <c r="C2" s="117" t="s">
        <v>363</v>
      </c>
      <c r="D2" s="127" t="s">
        <v>362</v>
      </c>
      <c r="E2" s="413"/>
      <c r="F2" s="124"/>
      <c r="G2" s="124"/>
      <c r="H2" s="411"/>
      <c r="I2" s="124"/>
      <c r="J2" s="124"/>
      <c r="K2" s="124"/>
      <c r="L2" s="124"/>
      <c r="M2" s="125"/>
    </row>
    <row r="3" spans="1:13" ht="25.5" x14ac:dyDescent="0.25">
      <c r="A3" s="827"/>
      <c r="B3" s="829"/>
      <c r="C3" s="119" t="s">
        <v>3</v>
      </c>
      <c r="D3" s="128" t="s">
        <v>4</v>
      </c>
      <c r="E3" s="414" t="s">
        <v>387</v>
      </c>
      <c r="F3" s="118" t="s">
        <v>389</v>
      </c>
      <c r="G3" s="118" t="s">
        <v>390</v>
      </c>
      <c r="H3" s="408" t="s">
        <v>391</v>
      </c>
      <c r="I3" s="118" t="s">
        <v>392</v>
      </c>
      <c r="J3" s="118" t="s">
        <v>393</v>
      </c>
      <c r="K3" s="118" t="s">
        <v>9</v>
      </c>
      <c r="L3" s="122" t="s">
        <v>9</v>
      </c>
      <c r="M3" s="120" t="s">
        <v>10</v>
      </c>
    </row>
    <row r="4" spans="1:13" x14ac:dyDescent="0.25">
      <c r="A4" s="116" t="s">
        <v>11</v>
      </c>
      <c r="B4" s="129">
        <v>1</v>
      </c>
      <c r="C4" s="121"/>
      <c r="D4" s="786" t="s">
        <v>360</v>
      </c>
      <c r="E4" s="786" t="s">
        <v>360</v>
      </c>
      <c r="F4" s="787" t="s">
        <v>360</v>
      </c>
      <c r="G4" s="288" t="s">
        <v>360</v>
      </c>
      <c r="H4" s="288" t="s">
        <v>360</v>
      </c>
      <c r="I4" s="288" t="s">
        <v>360</v>
      </c>
      <c r="J4" s="288" t="s">
        <v>360</v>
      </c>
      <c r="K4" s="288" t="s">
        <v>360</v>
      </c>
      <c r="L4" s="126" t="s">
        <v>12</v>
      </c>
      <c r="M4" s="123"/>
    </row>
    <row r="5" spans="1:13" x14ac:dyDescent="0.25">
      <c r="A5" s="130" t="s">
        <v>130</v>
      </c>
      <c r="B5" s="150">
        <v>2</v>
      </c>
      <c r="C5" s="138"/>
      <c r="D5" s="143"/>
      <c r="E5" s="392"/>
      <c r="F5" s="133"/>
      <c r="G5" s="133"/>
      <c r="H5" s="377"/>
      <c r="I5" s="133">
        <f t="shared" ref="I5:I17" si="0">SUM(F5:H5)</f>
        <v>0</v>
      </c>
      <c r="J5" s="133"/>
      <c r="K5" s="133"/>
      <c r="L5" s="145"/>
      <c r="M5" s="139"/>
    </row>
    <row r="6" spans="1:13" x14ac:dyDescent="0.25">
      <c r="A6" s="147" t="s">
        <v>118</v>
      </c>
      <c r="B6" s="150"/>
      <c r="C6" s="138">
        <v>0</v>
      </c>
      <c r="D6" s="216">
        <v>0</v>
      </c>
      <c r="E6" s="216">
        <f>D6</f>
        <v>0</v>
      </c>
      <c r="F6" s="133">
        <v>0</v>
      </c>
      <c r="G6" s="133">
        <v>0</v>
      </c>
      <c r="H6" s="377">
        <v>0</v>
      </c>
      <c r="I6" s="133">
        <f t="shared" si="0"/>
        <v>0</v>
      </c>
      <c r="J6" s="133">
        <v>0</v>
      </c>
      <c r="K6" s="133">
        <v>0</v>
      </c>
      <c r="L6" s="145" t="s">
        <v>16</v>
      </c>
      <c r="M6" s="139">
        <f>D6</f>
        <v>0</v>
      </c>
    </row>
    <row r="7" spans="1:13" x14ac:dyDescent="0.25">
      <c r="A7" s="147" t="s">
        <v>119</v>
      </c>
      <c r="B7" s="150"/>
      <c r="C7" s="138">
        <v>0</v>
      </c>
      <c r="D7" s="216">
        <v>0</v>
      </c>
      <c r="E7" s="216">
        <f t="shared" ref="E7:E17" si="1">D7</f>
        <v>0</v>
      </c>
      <c r="F7" s="133">
        <v>0</v>
      </c>
      <c r="G7" s="133">
        <v>0</v>
      </c>
      <c r="H7" s="377">
        <v>76499</v>
      </c>
      <c r="I7" s="377">
        <f t="shared" si="0"/>
        <v>76499</v>
      </c>
      <c r="J7" s="377">
        <v>0</v>
      </c>
      <c r="K7" s="133">
        <v>0</v>
      </c>
      <c r="L7" s="145" t="s">
        <v>16</v>
      </c>
      <c r="M7" s="384">
        <f t="shared" ref="M7:M17" si="2">D7</f>
        <v>0</v>
      </c>
    </row>
    <row r="8" spans="1:13" x14ac:dyDescent="0.25">
      <c r="A8" s="147" t="s">
        <v>120</v>
      </c>
      <c r="B8" s="150"/>
      <c r="C8" s="138">
        <v>0</v>
      </c>
      <c r="D8" s="666">
        <v>1004500</v>
      </c>
      <c r="E8" s="667">
        <f t="shared" si="1"/>
        <v>1004500</v>
      </c>
      <c r="F8" s="133">
        <v>0</v>
      </c>
      <c r="G8" s="133">
        <v>0</v>
      </c>
      <c r="H8" s="377">
        <v>0</v>
      </c>
      <c r="I8" s="377">
        <f t="shared" si="0"/>
        <v>0</v>
      </c>
      <c r="J8" s="377">
        <f>+D8/12*3</f>
        <v>251125</v>
      </c>
      <c r="K8" s="133">
        <f>I8-J8</f>
        <v>-251125</v>
      </c>
      <c r="L8" s="145">
        <v>-1</v>
      </c>
      <c r="M8" s="384">
        <f t="shared" si="2"/>
        <v>1004500</v>
      </c>
    </row>
    <row r="9" spans="1:13" x14ac:dyDescent="0.25">
      <c r="A9" s="147" t="s">
        <v>121</v>
      </c>
      <c r="B9" s="150"/>
      <c r="C9" s="138">
        <v>0</v>
      </c>
      <c r="D9" s="216">
        <v>0</v>
      </c>
      <c r="E9" s="216">
        <f t="shared" si="1"/>
        <v>0</v>
      </c>
      <c r="F9" s="133">
        <v>0</v>
      </c>
      <c r="G9" s="133">
        <v>0</v>
      </c>
      <c r="H9" s="377">
        <v>0</v>
      </c>
      <c r="I9" s="377">
        <f t="shared" si="0"/>
        <v>0</v>
      </c>
      <c r="J9" s="377">
        <f t="shared" ref="J9:J17" si="3">+D9/12*3</f>
        <v>0</v>
      </c>
      <c r="K9" s="377">
        <f t="shared" ref="K9:K17" si="4">I9-J9</f>
        <v>0</v>
      </c>
      <c r="L9" s="145" t="s">
        <v>16</v>
      </c>
      <c r="M9" s="384">
        <f t="shared" si="2"/>
        <v>0</v>
      </c>
    </row>
    <row r="10" spans="1:13" x14ac:dyDescent="0.25">
      <c r="A10" s="147" t="s">
        <v>122</v>
      </c>
      <c r="B10" s="150"/>
      <c r="C10" s="138">
        <v>0</v>
      </c>
      <c r="D10" s="216">
        <v>0</v>
      </c>
      <c r="E10" s="216">
        <f t="shared" si="1"/>
        <v>0</v>
      </c>
      <c r="F10" s="133">
        <v>0</v>
      </c>
      <c r="G10" s="133">
        <v>451433</v>
      </c>
      <c r="H10" s="377">
        <v>0</v>
      </c>
      <c r="I10" s="377">
        <f t="shared" si="0"/>
        <v>451433</v>
      </c>
      <c r="J10" s="377">
        <f t="shared" si="3"/>
        <v>0</v>
      </c>
      <c r="K10" s="377">
        <f t="shared" si="4"/>
        <v>451433</v>
      </c>
      <c r="L10" s="145" t="s">
        <v>16</v>
      </c>
      <c r="M10" s="384">
        <f t="shared" si="2"/>
        <v>0</v>
      </c>
    </row>
    <row r="11" spans="1:13" x14ac:dyDescent="0.25">
      <c r="A11" s="147" t="s">
        <v>123</v>
      </c>
      <c r="B11" s="150"/>
      <c r="C11" s="138">
        <v>0</v>
      </c>
      <c r="D11" s="216">
        <v>0</v>
      </c>
      <c r="E11" s="216">
        <f t="shared" si="1"/>
        <v>0</v>
      </c>
      <c r="F11" s="133">
        <v>0</v>
      </c>
      <c r="G11" s="133">
        <v>0</v>
      </c>
      <c r="H11" s="377">
        <v>0</v>
      </c>
      <c r="I11" s="377">
        <f t="shared" si="0"/>
        <v>0</v>
      </c>
      <c r="J11" s="377">
        <f t="shared" si="3"/>
        <v>0</v>
      </c>
      <c r="K11" s="377">
        <f t="shared" si="4"/>
        <v>0</v>
      </c>
      <c r="L11" s="145" t="s">
        <v>16</v>
      </c>
      <c r="M11" s="384">
        <f t="shared" si="2"/>
        <v>0</v>
      </c>
    </row>
    <row r="12" spans="1:13" x14ac:dyDescent="0.25">
      <c r="A12" s="147" t="s">
        <v>124</v>
      </c>
      <c r="B12" s="150"/>
      <c r="C12" s="138">
        <v>0</v>
      </c>
      <c r="D12" s="666">
        <v>2420854</v>
      </c>
      <c r="E12" s="667">
        <f t="shared" si="1"/>
        <v>2420854</v>
      </c>
      <c r="F12" s="133">
        <v>0</v>
      </c>
      <c r="G12" s="133">
        <v>0</v>
      </c>
      <c r="H12" s="377">
        <v>1403780</v>
      </c>
      <c r="I12" s="377">
        <f t="shared" si="0"/>
        <v>1403780</v>
      </c>
      <c r="J12" s="377">
        <f t="shared" si="3"/>
        <v>605213.5</v>
      </c>
      <c r="K12" s="377">
        <f t="shared" si="4"/>
        <v>798566.5</v>
      </c>
      <c r="L12" s="145">
        <v>-1</v>
      </c>
      <c r="M12" s="384">
        <f t="shared" si="2"/>
        <v>2420854</v>
      </c>
    </row>
    <row r="13" spans="1:13" x14ac:dyDescent="0.25">
      <c r="A13" s="147" t="s">
        <v>125</v>
      </c>
      <c r="B13" s="150"/>
      <c r="C13" s="138">
        <v>0</v>
      </c>
      <c r="D13" s="216">
        <v>0</v>
      </c>
      <c r="E13" s="216">
        <f t="shared" si="1"/>
        <v>0</v>
      </c>
      <c r="F13" s="133">
        <v>0</v>
      </c>
      <c r="G13" s="133">
        <v>0</v>
      </c>
      <c r="H13" s="377">
        <v>0</v>
      </c>
      <c r="I13" s="377">
        <f t="shared" si="0"/>
        <v>0</v>
      </c>
      <c r="J13" s="377">
        <f t="shared" si="3"/>
        <v>0</v>
      </c>
      <c r="K13" s="377">
        <f t="shared" si="4"/>
        <v>0</v>
      </c>
      <c r="L13" s="145" t="s">
        <v>16</v>
      </c>
      <c r="M13" s="384">
        <f t="shared" si="2"/>
        <v>0</v>
      </c>
    </row>
    <row r="14" spans="1:13" x14ac:dyDescent="0.25">
      <c r="A14" s="147" t="s">
        <v>126</v>
      </c>
      <c r="B14" s="150"/>
      <c r="C14" s="138">
        <v>0</v>
      </c>
      <c r="D14" s="216">
        <v>0</v>
      </c>
      <c r="E14" s="216">
        <f t="shared" si="1"/>
        <v>0</v>
      </c>
      <c r="F14" s="133">
        <v>0</v>
      </c>
      <c r="G14" s="133">
        <v>0</v>
      </c>
      <c r="H14" s="377">
        <v>0</v>
      </c>
      <c r="I14" s="377">
        <f t="shared" si="0"/>
        <v>0</v>
      </c>
      <c r="J14" s="377">
        <f t="shared" si="3"/>
        <v>0</v>
      </c>
      <c r="K14" s="377">
        <f t="shared" si="4"/>
        <v>0</v>
      </c>
      <c r="L14" s="145">
        <v>-1</v>
      </c>
      <c r="M14" s="384">
        <f t="shared" si="2"/>
        <v>0</v>
      </c>
    </row>
    <row r="15" spans="1:13" x14ac:dyDescent="0.25">
      <c r="A15" s="147" t="s">
        <v>127</v>
      </c>
      <c r="B15" s="150"/>
      <c r="C15" s="138">
        <v>0</v>
      </c>
      <c r="D15" s="666">
        <v>4291050</v>
      </c>
      <c r="E15" s="667">
        <f t="shared" si="1"/>
        <v>4291050</v>
      </c>
      <c r="F15" s="133">
        <v>0</v>
      </c>
      <c r="G15" s="133">
        <v>2158022</v>
      </c>
      <c r="H15" s="377">
        <v>2484282</v>
      </c>
      <c r="I15" s="377">
        <f t="shared" si="0"/>
        <v>4642304</v>
      </c>
      <c r="J15" s="377">
        <f t="shared" si="3"/>
        <v>1072762.5</v>
      </c>
      <c r="K15" s="377">
        <f t="shared" si="4"/>
        <v>3569541.5</v>
      </c>
      <c r="L15" s="145">
        <v>-0.37420217790252069</v>
      </c>
      <c r="M15" s="384">
        <f t="shared" si="2"/>
        <v>4291050</v>
      </c>
    </row>
    <row r="16" spans="1:13" x14ac:dyDescent="0.25">
      <c r="A16" s="147" t="s">
        <v>128</v>
      </c>
      <c r="B16" s="150"/>
      <c r="C16" s="138">
        <v>0</v>
      </c>
      <c r="D16" s="666">
        <v>39063573</v>
      </c>
      <c r="E16" s="667">
        <f t="shared" si="1"/>
        <v>39063573</v>
      </c>
      <c r="F16" s="133">
        <v>2829572</v>
      </c>
      <c r="G16" s="133">
        <v>5665898</v>
      </c>
      <c r="H16" s="377">
        <v>20041569</v>
      </c>
      <c r="I16" s="377">
        <f t="shared" si="0"/>
        <v>28537039</v>
      </c>
      <c r="J16" s="377">
        <f t="shared" si="3"/>
        <v>9765893.25</v>
      </c>
      <c r="K16" s="377">
        <f t="shared" si="4"/>
        <v>18771145.75</v>
      </c>
      <c r="L16" s="145">
        <v>-0.21710755803231288</v>
      </c>
      <c r="M16" s="384">
        <f t="shared" si="2"/>
        <v>39063573</v>
      </c>
    </row>
    <row r="17" spans="1:19" x14ac:dyDescent="0.25">
      <c r="A17" s="147" t="s">
        <v>129</v>
      </c>
      <c r="B17" s="150"/>
      <c r="C17" s="138">
        <v>0</v>
      </c>
      <c r="D17" s="666">
        <v>750000</v>
      </c>
      <c r="E17" s="667">
        <f t="shared" si="1"/>
        <v>750000</v>
      </c>
      <c r="F17" s="133">
        <v>0</v>
      </c>
      <c r="G17" s="133">
        <v>0</v>
      </c>
      <c r="H17" s="377">
        <v>93621</v>
      </c>
      <c r="I17" s="377">
        <f t="shared" si="0"/>
        <v>93621</v>
      </c>
      <c r="J17" s="377">
        <f t="shared" si="3"/>
        <v>187500</v>
      </c>
      <c r="K17" s="377">
        <f t="shared" si="4"/>
        <v>-93879</v>
      </c>
      <c r="L17" s="145">
        <v>-1</v>
      </c>
      <c r="M17" s="384">
        <f t="shared" si="2"/>
        <v>750000</v>
      </c>
    </row>
    <row r="18" spans="1:19" x14ac:dyDescent="0.25">
      <c r="A18" s="144" t="s">
        <v>131</v>
      </c>
      <c r="B18" s="33">
        <v>4</v>
      </c>
      <c r="C18" s="15">
        <v>0</v>
      </c>
      <c r="D18" s="593">
        <f>SUM(D6:D17)</f>
        <v>47529977</v>
      </c>
      <c r="E18" s="593">
        <f>SUM(E6:E17)</f>
        <v>47529977</v>
      </c>
      <c r="F18" s="593">
        <f t="shared" ref="F18:M18" si="5">SUM(F6:F17)</f>
        <v>2829572</v>
      </c>
      <c r="G18" s="593">
        <f t="shared" si="5"/>
        <v>8275353</v>
      </c>
      <c r="H18" s="593">
        <f t="shared" si="5"/>
        <v>24099751</v>
      </c>
      <c r="I18" s="593">
        <f>SUM(I6:I17)</f>
        <v>35204676</v>
      </c>
      <c r="J18" s="593">
        <f t="shared" si="5"/>
        <v>11882494.25</v>
      </c>
      <c r="K18" s="593">
        <f t="shared" si="5"/>
        <v>23245682.75</v>
      </c>
      <c r="L18" s="593">
        <f t="shared" si="5"/>
        <v>-4.5913097359348338</v>
      </c>
      <c r="M18" s="594">
        <f t="shared" si="5"/>
        <v>47529977</v>
      </c>
      <c r="N18" s="535"/>
      <c r="P18" s="566">
        <v>47529976.999999993</v>
      </c>
      <c r="Q18">
        <v>0</v>
      </c>
      <c r="R18" s="566">
        <v>65737186.810000002</v>
      </c>
      <c r="S18" s="566">
        <v>18207209.809999999</v>
      </c>
    </row>
    <row r="19" spans="1:19" x14ac:dyDescent="0.25">
      <c r="A19" s="144" t="s">
        <v>132</v>
      </c>
      <c r="B19" s="16"/>
      <c r="C19" s="113">
        <v>0</v>
      </c>
      <c r="D19" s="593">
        <f>+D18</f>
        <v>47529977</v>
      </c>
      <c r="E19" s="593">
        <f>+E18</f>
        <v>47529977</v>
      </c>
      <c r="F19" s="593">
        <f t="shared" ref="F19:M19" si="6">+F18</f>
        <v>2829572</v>
      </c>
      <c r="G19" s="593">
        <f>+G18</f>
        <v>8275353</v>
      </c>
      <c r="H19" s="593">
        <f t="shared" si="6"/>
        <v>24099751</v>
      </c>
      <c r="I19" s="593">
        <f t="shared" si="6"/>
        <v>35204676</v>
      </c>
      <c r="J19" s="593">
        <f t="shared" si="6"/>
        <v>11882494.25</v>
      </c>
      <c r="K19" s="593">
        <f t="shared" si="6"/>
        <v>23245682.75</v>
      </c>
      <c r="L19" s="593">
        <f t="shared" si="6"/>
        <v>-4.5913097359348338</v>
      </c>
      <c r="M19" s="594">
        <f t="shared" si="6"/>
        <v>47529977</v>
      </c>
      <c r="R19">
        <f>R18-S18</f>
        <v>47529977</v>
      </c>
    </row>
    <row r="20" spans="1:19" x14ac:dyDescent="0.25">
      <c r="A20" s="132"/>
      <c r="B20" s="150"/>
      <c r="C20" s="138"/>
      <c r="D20" s="143"/>
      <c r="E20" s="392"/>
      <c r="F20" s="133"/>
      <c r="G20" s="133">
        <v>0</v>
      </c>
      <c r="H20" s="377"/>
      <c r="I20" s="133"/>
      <c r="J20" s="133"/>
      <c r="K20" s="133"/>
      <c r="L20" s="145"/>
      <c r="M20" s="139"/>
    </row>
    <row r="21" spans="1:19" x14ac:dyDescent="0.25">
      <c r="A21" s="130" t="s">
        <v>133</v>
      </c>
      <c r="B21" s="150"/>
      <c r="C21" s="138"/>
      <c r="D21" s="143"/>
      <c r="E21" s="392"/>
      <c r="F21" s="133"/>
      <c r="G21" s="133"/>
      <c r="H21" s="377"/>
      <c r="I21" s="133"/>
      <c r="J21" s="133"/>
      <c r="K21" s="133"/>
      <c r="L21" s="145"/>
      <c r="M21" s="139"/>
    </row>
    <row r="22" spans="1:19" x14ac:dyDescent="0.25">
      <c r="A22" s="148" t="s">
        <v>97</v>
      </c>
      <c r="B22" s="151"/>
      <c r="C22" s="538">
        <f>SUM(C23:C25)</f>
        <v>0</v>
      </c>
      <c r="D22" s="537">
        <f t="shared" ref="D22:F22" si="7">SUM(D23:D25)</f>
        <v>0</v>
      </c>
      <c r="E22" s="159">
        <f t="shared" si="7"/>
        <v>0</v>
      </c>
      <c r="F22" s="159">
        <f t="shared" si="7"/>
        <v>0</v>
      </c>
      <c r="G22" s="159">
        <f t="shared" ref="G22:M22" si="8">SUM(G23:G25)</f>
        <v>0</v>
      </c>
      <c r="H22" s="159">
        <f t="shared" si="8"/>
        <v>76499</v>
      </c>
      <c r="I22" s="159">
        <f t="shared" si="8"/>
        <v>3786925</v>
      </c>
      <c r="J22" s="159">
        <f t="shared" si="8"/>
        <v>0</v>
      </c>
      <c r="K22" s="159">
        <f t="shared" si="8"/>
        <v>76499</v>
      </c>
      <c r="L22" s="159">
        <f t="shared" si="8"/>
        <v>3.5714481039700909</v>
      </c>
      <c r="M22" s="538">
        <f t="shared" si="8"/>
        <v>0</v>
      </c>
      <c r="N22" s="535"/>
    </row>
    <row r="23" spans="1:19" x14ac:dyDescent="0.25">
      <c r="A23" s="149" t="s">
        <v>98</v>
      </c>
      <c r="B23" s="150"/>
      <c r="C23" s="157">
        <v>0</v>
      </c>
      <c r="D23" s="155">
        <v>0</v>
      </c>
      <c r="E23" s="155">
        <f t="shared" ref="E23:E25" si="9">D23</f>
        <v>0</v>
      </c>
      <c r="F23" s="156">
        <v>0</v>
      </c>
      <c r="G23" s="156">
        <v>0</v>
      </c>
      <c r="H23" s="415">
        <v>0</v>
      </c>
      <c r="I23" s="377">
        <f>SUM(F23:H23)</f>
        <v>0</v>
      </c>
      <c r="J23" s="377">
        <f>+D23*0.5</f>
        <v>0</v>
      </c>
      <c r="K23" s="134">
        <v>0</v>
      </c>
      <c r="L23" s="141"/>
      <c r="M23" s="157">
        <f t="shared" ref="M23:M25" si="10">D23</f>
        <v>0</v>
      </c>
    </row>
    <row r="24" spans="1:19" x14ac:dyDescent="0.25">
      <c r="A24" s="149" t="s">
        <v>99</v>
      </c>
      <c r="B24" s="150"/>
      <c r="C24" s="28"/>
      <c r="D24" s="25">
        <v>0</v>
      </c>
      <c r="E24" s="25">
        <f t="shared" si="9"/>
        <v>0</v>
      </c>
      <c r="F24" s="112">
        <v>0</v>
      </c>
      <c r="G24" s="112">
        <v>0</v>
      </c>
      <c r="H24" s="112">
        <v>76499</v>
      </c>
      <c r="I24" s="377">
        <f>SUM(F24:H24)</f>
        <v>76499</v>
      </c>
      <c r="J24" s="377">
        <f>+D24/12*3</f>
        <v>0</v>
      </c>
      <c r="K24" s="134">
        <f>I24-J24</f>
        <v>76499</v>
      </c>
      <c r="L24" s="141">
        <v>3.5714481039700909</v>
      </c>
      <c r="M24" s="157">
        <f t="shared" si="10"/>
        <v>0</v>
      </c>
    </row>
    <row r="25" spans="1:19" x14ac:dyDescent="0.25">
      <c r="A25" s="149" t="s">
        <v>100</v>
      </c>
      <c r="B25" s="150"/>
      <c r="C25" s="157"/>
      <c r="D25" s="155">
        <v>0</v>
      </c>
      <c r="E25" s="155">
        <f t="shared" si="9"/>
        <v>0</v>
      </c>
      <c r="F25" s="156">
        <v>0</v>
      </c>
      <c r="G25" s="156">
        <v>0</v>
      </c>
      <c r="H25" s="415">
        <v>0</v>
      </c>
      <c r="I25" s="377">
        <f t="shared" ref="I25" si="11">SUM(I26:I28)</f>
        <v>3710426</v>
      </c>
      <c r="J25" s="377">
        <f>+D25*0.5</f>
        <v>0</v>
      </c>
      <c r="K25" s="134">
        <v>0</v>
      </c>
      <c r="L25" s="141" t="s">
        <v>16</v>
      </c>
      <c r="M25" s="157">
        <f t="shared" si="10"/>
        <v>0</v>
      </c>
    </row>
    <row r="26" spans="1:19" x14ac:dyDescent="0.25">
      <c r="A26" s="148" t="s">
        <v>101</v>
      </c>
      <c r="B26" s="150"/>
      <c r="C26" s="538">
        <f t="shared" ref="C26:J26" si="12">SUM(C27:C31)</f>
        <v>0</v>
      </c>
      <c r="D26" s="573">
        <f t="shared" si="12"/>
        <v>2420854</v>
      </c>
      <c r="E26" s="573">
        <f t="shared" si="12"/>
        <v>2420854</v>
      </c>
      <c r="F26" s="573">
        <f t="shared" si="12"/>
        <v>0</v>
      </c>
      <c r="G26" s="573">
        <f t="shared" si="12"/>
        <v>451433</v>
      </c>
      <c r="H26" s="573">
        <f t="shared" si="12"/>
        <v>1403780</v>
      </c>
      <c r="I26" s="574">
        <f t="shared" si="12"/>
        <v>1855213</v>
      </c>
      <c r="J26" s="574">
        <f t="shared" si="12"/>
        <v>605213.5</v>
      </c>
      <c r="K26" s="574">
        <f>I26-J26</f>
        <v>1249999.5</v>
      </c>
      <c r="L26" s="575">
        <f>IF(K26=0,"",K26/J26)</f>
        <v>2.0653860166701503</v>
      </c>
      <c r="M26" s="576">
        <f t="shared" ref="M26" si="13">SUM(M27:M31)</f>
        <v>2420854</v>
      </c>
      <c r="N26" s="535"/>
    </row>
    <row r="27" spans="1:19" x14ac:dyDescent="0.25">
      <c r="A27" s="149" t="s">
        <v>102</v>
      </c>
      <c r="B27" s="150"/>
      <c r="C27" s="157"/>
      <c r="D27" s="155">
        <v>0</v>
      </c>
      <c r="E27" s="155">
        <f t="shared" ref="E27:E31" si="14">D27</f>
        <v>0</v>
      </c>
      <c r="F27" s="156">
        <v>0</v>
      </c>
      <c r="G27" s="156">
        <v>0</v>
      </c>
      <c r="H27" s="415">
        <v>0</v>
      </c>
      <c r="I27" s="377">
        <f t="shared" ref="I27:I31" si="15">SUM(F27:H27)</f>
        <v>0</v>
      </c>
      <c r="J27" s="377">
        <f>+D27*0.5</f>
        <v>0</v>
      </c>
      <c r="K27" s="134">
        <v>0</v>
      </c>
      <c r="L27" s="141" t="s">
        <v>16</v>
      </c>
      <c r="M27" s="157">
        <f t="shared" ref="M27:M52" si="16">D27</f>
        <v>0</v>
      </c>
    </row>
    <row r="28" spans="1:19" x14ac:dyDescent="0.25">
      <c r="A28" s="149" t="s">
        <v>103</v>
      </c>
      <c r="B28" s="150"/>
      <c r="C28" s="157"/>
      <c r="D28" s="666">
        <v>2420854</v>
      </c>
      <c r="E28" s="667">
        <f t="shared" si="14"/>
        <v>2420854</v>
      </c>
      <c r="F28" s="377">
        <v>0</v>
      </c>
      <c r="G28" s="156">
        <v>451433</v>
      </c>
      <c r="H28" s="415">
        <v>1403780</v>
      </c>
      <c r="I28" s="377">
        <f t="shared" si="15"/>
        <v>1855213</v>
      </c>
      <c r="J28" s="377">
        <f>+D28/12*3</f>
        <v>605213.5</v>
      </c>
      <c r="K28" s="134">
        <f>I28-J28</f>
        <v>1249999.5</v>
      </c>
      <c r="L28" s="141">
        <v>3.5714481039700909</v>
      </c>
      <c r="M28" s="362">
        <f t="shared" si="16"/>
        <v>2420854</v>
      </c>
    </row>
    <row r="29" spans="1:19" x14ac:dyDescent="0.25">
      <c r="A29" s="149" t="s">
        <v>104</v>
      </c>
      <c r="B29" s="150"/>
      <c r="C29" s="157"/>
      <c r="D29" s="155">
        <v>0</v>
      </c>
      <c r="E29" s="155">
        <f t="shared" si="14"/>
        <v>0</v>
      </c>
      <c r="F29" s="156">
        <v>0</v>
      </c>
      <c r="G29" s="156">
        <v>0</v>
      </c>
      <c r="H29" s="415">
        <v>0</v>
      </c>
      <c r="I29" s="377">
        <f t="shared" si="15"/>
        <v>0</v>
      </c>
      <c r="J29" s="377">
        <f>+D29*9/12</f>
        <v>0</v>
      </c>
      <c r="K29" s="134">
        <v>0</v>
      </c>
      <c r="L29" s="141" t="s">
        <v>16</v>
      </c>
      <c r="M29" s="362">
        <f t="shared" si="16"/>
        <v>0</v>
      </c>
    </row>
    <row r="30" spans="1:19" x14ac:dyDescent="0.25">
      <c r="A30" s="149" t="s">
        <v>105</v>
      </c>
      <c r="B30" s="150"/>
      <c r="C30" s="157"/>
      <c r="D30" s="155">
        <v>0</v>
      </c>
      <c r="E30" s="155">
        <f t="shared" si="14"/>
        <v>0</v>
      </c>
      <c r="F30" s="156">
        <v>0</v>
      </c>
      <c r="G30" s="156">
        <v>0</v>
      </c>
      <c r="H30" s="415">
        <v>0</v>
      </c>
      <c r="I30" s="377">
        <f t="shared" si="15"/>
        <v>0</v>
      </c>
      <c r="J30" s="377">
        <f>+D30*9/12</f>
        <v>0</v>
      </c>
      <c r="K30" s="134">
        <v>0</v>
      </c>
      <c r="L30" s="141" t="s">
        <v>16</v>
      </c>
      <c r="M30" s="362">
        <f t="shared" si="16"/>
        <v>0</v>
      </c>
    </row>
    <row r="31" spans="1:19" x14ac:dyDescent="0.25">
      <c r="A31" s="149" t="s">
        <v>106</v>
      </c>
      <c r="B31" s="150"/>
      <c r="C31" s="28"/>
      <c r="D31" s="25">
        <v>0</v>
      </c>
      <c r="E31" s="25">
        <f t="shared" si="14"/>
        <v>0</v>
      </c>
      <c r="F31" s="112">
        <v>0</v>
      </c>
      <c r="G31" s="112">
        <v>0</v>
      </c>
      <c r="H31" s="112">
        <v>0</v>
      </c>
      <c r="I31" s="377">
        <f t="shared" si="15"/>
        <v>0</v>
      </c>
      <c r="J31" s="377">
        <f>+D31*9/12</f>
        <v>0</v>
      </c>
      <c r="K31" s="134">
        <v>0</v>
      </c>
      <c r="L31" s="141" t="s">
        <v>16</v>
      </c>
      <c r="M31" s="362">
        <f t="shared" si="16"/>
        <v>0</v>
      </c>
    </row>
    <row r="32" spans="1:19" x14ac:dyDescent="0.25">
      <c r="A32" s="148" t="s">
        <v>107</v>
      </c>
      <c r="B32" s="150"/>
      <c r="C32" s="538">
        <f t="shared" ref="C32:J32" si="17">SUM(C33:C35)</f>
        <v>0</v>
      </c>
      <c r="D32" s="573">
        <f t="shared" si="17"/>
        <v>5295550</v>
      </c>
      <c r="E32" s="573">
        <f t="shared" si="17"/>
        <v>5295550</v>
      </c>
      <c r="F32" s="573">
        <f t="shared" si="17"/>
        <v>0</v>
      </c>
      <c r="G32" s="574">
        <f t="shared" si="17"/>
        <v>2158022</v>
      </c>
      <c r="H32" s="574">
        <f t="shared" si="17"/>
        <v>2484282</v>
      </c>
      <c r="I32" s="574">
        <f t="shared" si="17"/>
        <v>4642304</v>
      </c>
      <c r="J32" s="574">
        <f t="shared" si="17"/>
        <v>1323887.5</v>
      </c>
      <c r="K32" s="574">
        <f>I32-J32</f>
        <v>3318416.5</v>
      </c>
      <c r="L32" s="575">
        <f>IF(K32=0,"",K32/J32)</f>
        <v>2.5065698558223413</v>
      </c>
      <c r="M32" s="576">
        <f>SUM(M33:M35)</f>
        <v>5295550</v>
      </c>
      <c r="N32" s="535"/>
    </row>
    <row r="33" spans="1:13" x14ac:dyDescent="0.25">
      <c r="A33" s="149" t="s">
        <v>108</v>
      </c>
      <c r="B33" s="150"/>
      <c r="C33" s="157"/>
      <c r="D33" s="666">
        <v>1004500</v>
      </c>
      <c r="E33" s="667">
        <f t="shared" ref="E33:E35" si="18">D33</f>
        <v>1004500</v>
      </c>
      <c r="F33" s="377">
        <v>0</v>
      </c>
      <c r="G33" s="156">
        <v>0</v>
      </c>
      <c r="H33" s="415">
        <v>0</v>
      </c>
      <c r="I33" s="377">
        <f t="shared" ref="I33:I35" si="19">SUM(F33:H33)</f>
        <v>0</v>
      </c>
      <c r="J33" s="377">
        <f t="shared" ref="J33:J34" si="20">+D33/12*3</f>
        <v>251125</v>
      </c>
      <c r="K33" s="134">
        <f>I33-J33</f>
        <v>-251125</v>
      </c>
      <c r="L33" s="141" t="s">
        <v>16</v>
      </c>
      <c r="M33" s="157">
        <f t="shared" si="16"/>
        <v>1004500</v>
      </c>
    </row>
    <row r="34" spans="1:13" x14ac:dyDescent="0.25">
      <c r="A34" s="149" t="s">
        <v>109</v>
      </c>
      <c r="B34" s="150"/>
      <c r="C34" s="157"/>
      <c r="D34" s="666">
        <v>4291050</v>
      </c>
      <c r="E34" s="667">
        <f t="shared" si="18"/>
        <v>4291050</v>
      </c>
      <c r="F34" s="156">
        <v>0</v>
      </c>
      <c r="G34" s="156">
        <v>2158022</v>
      </c>
      <c r="H34" s="415">
        <v>2484282</v>
      </c>
      <c r="I34" s="377">
        <f t="shared" si="19"/>
        <v>4642304</v>
      </c>
      <c r="J34" s="377">
        <f t="shared" si="20"/>
        <v>1072762.5</v>
      </c>
      <c r="K34" s="134">
        <f>I34-J34</f>
        <v>3569541.5</v>
      </c>
      <c r="L34" s="141">
        <v>0.40397499999999997</v>
      </c>
      <c r="M34" s="157">
        <f t="shared" si="16"/>
        <v>4291050</v>
      </c>
    </row>
    <row r="35" spans="1:13" x14ac:dyDescent="0.25">
      <c r="A35" s="149" t="s">
        <v>110</v>
      </c>
      <c r="B35" s="150"/>
      <c r="C35" s="157"/>
      <c r="D35" s="155">
        <v>0</v>
      </c>
      <c r="E35" s="155">
        <f t="shared" si="18"/>
        <v>0</v>
      </c>
      <c r="F35" s="156">
        <v>0</v>
      </c>
      <c r="G35" s="156">
        <v>0</v>
      </c>
      <c r="H35" s="415">
        <v>0</v>
      </c>
      <c r="I35" s="377">
        <f t="shared" si="19"/>
        <v>0</v>
      </c>
      <c r="J35" s="377">
        <f>+D35*9/12</f>
        <v>0</v>
      </c>
      <c r="K35" s="134">
        <v>0</v>
      </c>
      <c r="L35" s="141" t="s">
        <v>16</v>
      </c>
      <c r="M35" s="157">
        <f t="shared" si="16"/>
        <v>0</v>
      </c>
    </row>
    <row r="36" spans="1:13" x14ac:dyDescent="0.25">
      <c r="A36" s="148" t="s">
        <v>111</v>
      </c>
      <c r="B36" s="150"/>
      <c r="C36" s="538">
        <f>SUM(C37:C40)</f>
        <v>0</v>
      </c>
      <c r="D36" s="573">
        <f>SUM(D37:D40)</f>
        <v>39813573</v>
      </c>
      <c r="E36" s="574">
        <f>SUM(E37:E40)</f>
        <v>39813573</v>
      </c>
      <c r="F36" s="574">
        <f t="shared" ref="F36:M36" si="21">SUM(F37:F40)</f>
        <v>2829572</v>
      </c>
      <c r="G36" s="574">
        <f>SUM(G37:G41)</f>
        <v>5665898</v>
      </c>
      <c r="H36" s="574">
        <f>SUM(H37:H41)</f>
        <v>20135190</v>
      </c>
      <c r="I36" s="574">
        <f t="shared" si="21"/>
        <v>28630660</v>
      </c>
      <c r="J36" s="574">
        <f t="shared" si="21"/>
        <v>9953393.25</v>
      </c>
      <c r="K36" s="574">
        <f t="shared" si="21"/>
        <v>18677266.75</v>
      </c>
      <c r="L36" s="577">
        <f>IF(K36=0,"",K36/J36)</f>
        <v>1.8764723025486811</v>
      </c>
      <c r="M36" s="578">
        <f t="shared" si="21"/>
        <v>39813573</v>
      </c>
    </row>
    <row r="37" spans="1:13" x14ac:dyDescent="0.25">
      <c r="A37" s="149" t="s">
        <v>112</v>
      </c>
      <c r="B37" s="150"/>
      <c r="C37" s="157"/>
      <c r="D37" s="666">
        <v>750000</v>
      </c>
      <c r="E37" s="667">
        <f t="shared" ref="E37:E41" si="22">D37</f>
        <v>750000</v>
      </c>
      <c r="F37" s="156">
        <v>0</v>
      </c>
      <c r="G37" s="156">
        <v>0</v>
      </c>
      <c r="H37" s="415">
        <v>93621</v>
      </c>
      <c r="I37" s="377">
        <f t="shared" ref="I37:I41" si="23">SUM(F37:H37)</f>
        <v>93621</v>
      </c>
      <c r="J37" s="377">
        <f t="shared" ref="J37:J38" si="24">+D37/12*3</f>
        <v>187500</v>
      </c>
      <c r="K37" s="134">
        <f>I37-J37</f>
        <v>-93879</v>
      </c>
      <c r="L37" s="141">
        <f>IF(K37=0,"",K37/J37)</f>
        <v>-0.50068800000000002</v>
      </c>
      <c r="M37" s="157">
        <f t="shared" si="16"/>
        <v>750000</v>
      </c>
    </row>
    <row r="38" spans="1:13" x14ac:dyDescent="0.25">
      <c r="A38" s="149" t="s">
        <v>113</v>
      </c>
      <c r="B38" s="150"/>
      <c r="C38" s="157"/>
      <c r="D38" s="666">
        <v>39063573</v>
      </c>
      <c r="E38" s="667">
        <f t="shared" si="22"/>
        <v>39063573</v>
      </c>
      <c r="F38" s="156">
        <v>2829572</v>
      </c>
      <c r="G38" s="156">
        <v>5665898</v>
      </c>
      <c r="H38" s="415">
        <v>20041569</v>
      </c>
      <c r="I38" s="377">
        <f t="shared" si="23"/>
        <v>28537039</v>
      </c>
      <c r="J38" s="377">
        <f t="shared" si="24"/>
        <v>9765893.25</v>
      </c>
      <c r="K38" s="134">
        <f>I38-J38</f>
        <v>18771145.75</v>
      </c>
      <c r="L38" s="141">
        <f>IF(K38=0,"",K38/J38)</f>
        <v>1.9221125266754273</v>
      </c>
      <c r="M38" s="157">
        <f t="shared" si="16"/>
        <v>39063573</v>
      </c>
    </row>
    <row r="39" spans="1:13" x14ac:dyDescent="0.25">
      <c r="A39" s="149" t="s">
        <v>114</v>
      </c>
      <c r="B39" s="150"/>
      <c r="C39" s="28"/>
      <c r="D39" s="25">
        <v>0</v>
      </c>
      <c r="E39" s="25">
        <f t="shared" si="22"/>
        <v>0</v>
      </c>
      <c r="F39" s="377">
        <v>0</v>
      </c>
      <c r="G39" s="112">
        <v>0</v>
      </c>
      <c r="H39" s="112">
        <v>0</v>
      </c>
      <c r="I39" s="377">
        <f t="shared" si="23"/>
        <v>0</v>
      </c>
      <c r="J39" s="377">
        <f>+D39*9/12</f>
        <v>0</v>
      </c>
      <c r="K39" s="134">
        <f>I39-J39</f>
        <v>0</v>
      </c>
      <c r="L39" s="141" t="str">
        <f>IF(K39=0,"",K39/J39)</f>
        <v/>
      </c>
      <c r="M39" s="157">
        <f t="shared" si="16"/>
        <v>0</v>
      </c>
    </row>
    <row r="40" spans="1:13" x14ac:dyDescent="0.25">
      <c r="A40" s="149" t="s">
        <v>115</v>
      </c>
      <c r="B40" s="150"/>
      <c r="C40" s="157"/>
      <c r="D40" s="155">
        <v>0</v>
      </c>
      <c r="E40" s="155">
        <f t="shared" si="22"/>
        <v>0</v>
      </c>
      <c r="F40" s="156">
        <v>0</v>
      </c>
      <c r="G40" s="156">
        <v>0</v>
      </c>
      <c r="H40" s="415">
        <v>0</v>
      </c>
      <c r="I40" s="377">
        <f t="shared" si="23"/>
        <v>0</v>
      </c>
      <c r="J40" s="377">
        <f>+D40*9/12</f>
        <v>0</v>
      </c>
      <c r="K40" s="134">
        <v>0</v>
      </c>
      <c r="L40" s="141"/>
      <c r="M40" s="157">
        <f t="shared" si="16"/>
        <v>0</v>
      </c>
    </row>
    <row r="41" spans="1:13" x14ac:dyDescent="0.25">
      <c r="A41" s="148" t="s">
        <v>116</v>
      </c>
      <c r="B41" s="150"/>
      <c r="C41" s="157"/>
      <c r="D41" s="155">
        <v>0</v>
      </c>
      <c r="E41" s="155">
        <f t="shared" si="22"/>
        <v>0</v>
      </c>
      <c r="F41" s="156">
        <v>0</v>
      </c>
      <c r="G41" s="156">
        <v>0</v>
      </c>
      <c r="H41" s="415">
        <v>0</v>
      </c>
      <c r="I41" s="377">
        <f t="shared" si="23"/>
        <v>0</v>
      </c>
      <c r="J41" s="156">
        <v>0</v>
      </c>
      <c r="K41" s="134">
        <v>0</v>
      </c>
      <c r="L41" s="141" t="s">
        <v>16</v>
      </c>
      <c r="M41" s="157">
        <f t="shared" si="16"/>
        <v>0</v>
      </c>
    </row>
    <row r="42" spans="1:13" x14ac:dyDescent="0.25">
      <c r="A42" s="115" t="s">
        <v>134</v>
      </c>
      <c r="B42" s="33">
        <v>3</v>
      </c>
      <c r="C42" s="14">
        <v>0</v>
      </c>
      <c r="D42" s="593">
        <f>+D22+D26+D32+D36</f>
        <v>47529977</v>
      </c>
      <c r="E42" s="593">
        <f>+E22+E26+E32+E36</f>
        <v>47529977</v>
      </c>
      <c r="F42" s="595">
        <f>+F22+F26+F32+F36</f>
        <v>2829572</v>
      </c>
      <c r="G42" s="595">
        <f>+G22+G26+G32+G36</f>
        <v>8275353</v>
      </c>
      <c r="H42" s="595">
        <f t="shared" ref="H42:K42" si="25">+H22+H26+H32+H36</f>
        <v>24099751</v>
      </c>
      <c r="I42" s="595">
        <f>I22+I26+I32+I36+I41</f>
        <v>38915102</v>
      </c>
      <c r="J42" s="595">
        <f>+J22+J26+J32+J36</f>
        <v>11882494.25</v>
      </c>
      <c r="K42" s="595">
        <f t="shared" si="25"/>
        <v>23322181.75</v>
      </c>
      <c r="L42" s="596">
        <f>IF(K42=0,"",K42/J42)</f>
        <v>1.9627345285692017</v>
      </c>
      <c r="M42" s="595">
        <f>+M22+M26+M32+M36</f>
        <v>47529977</v>
      </c>
    </row>
    <row r="43" spans="1:13" x14ac:dyDescent="0.25">
      <c r="A43" s="131"/>
      <c r="B43" s="140"/>
      <c r="C43" s="152"/>
      <c r="D43" s="153"/>
      <c r="E43" s="216"/>
      <c r="F43" s="134"/>
      <c r="G43" s="134"/>
      <c r="H43" s="405"/>
      <c r="I43" s="134"/>
      <c r="J43" s="134"/>
      <c r="K43" s="134"/>
      <c r="L43" s="141"/>
      <c r="M43" s="146">
        <f t="shared" si="16"/>
        <v>0</v>
      </c>
    </row>
    <row r="44" spans="1:13" x14ac:dyDescent="0.25">
      <c r="A44" s="130" t="s">
        <v>135</v>
      </c>
      <c r="B44" s="140"/>
      <c r="C44" s="152"/>
      <c r="D44" s="153"/>
      <c r="E44" s="216"/>
      <c r="F44" s="134"/>
      <c r="G44" s="134"/>
      <c r="H44" s="405"/>
      <c r="I44" s="134"/>
      <c r="J44" s="134"/>
      <c r="K44" s="134"/>
      <c r="L44" s="141"/>
      <c r="M44" s="146">
        <f t="shared" si="16"/>
        <v>0</v>
      </c>
    </row>
    <row r="45" spans="1:13" x14ac:dyDescent="0.25">
      <c r="A45" s="137" t="s">
        <v>136</v>
      </c>
      <c r="B45" s="140"/>
      <c r="C45" s="154"/>
      <c r="D45" s="666">
        <v>47529977</v>
      </c>
      <c r="E45" s="667">
        <f t="shared" ref="E45:E48" si="26">D45</f>
        <v>47529977</v>
      </c>
      <c r="F45" s="156">
        <v>2829572</v>
      </c>
      <c r="G45" s="156">
        <v>8275353</v>
      </c>
      <c r="H45" s="415">
        <v>24099751</v>
      </c>
      <c r="I45" s="377">
        <f>SUM(F45:H45)</f>
        <v>35204676</v>
      </c>
      <c r="J45" s="377">
        <f>+D45/12*3</f>
        <v>11882494.25</v>
      </c>
      <c r="K45" s="134">
        <f>I45-J45</f>
        <v>23322181.75</v>
      </c>
      <c r="L45" s="563">
        <f>IF(K45=0,"",K45/J45)</f>
        <v>1.9627345285692017</v>
      </c>
      <c r="M45" s="157">
        <f t="shared" si="16"/>
        <v>47529977</v>
      </c>
    </row>
    <row r="46" spans="1:13" x14ac:dyDescent="0.25">
      <c r="A46" s="137" t="s">
        <v>137</v>
      </c>
      <c r="B46" s="140"/>
      <c r="C46" s="154"/>
      <c r="D46" s="155">
        <v>0</v>
      </c>
      <c r="E46" s="155">
        <f t="shared" si="26"/>
        <v>0</v>
      </c>
      <c r="F46" s="156">
        <v>0</v>
      </c>
      <c r="G46" s="156">
        <v>0</v>
      </c>
      <c r="H46" s="415">
        <v>0</v>
      </c>
      <c r="I46" s="377">
        <f>SUM(F46:H46)</f>
        <v>0</v>
      </c>
      <c r="J46" s="377">
        <f>+D46*9/12</f>
        <v>0</v>
      </c>
      <c r="K46" s="134">
        <v>0</v>
      </c>
      <c r="L46" s="141">
        <v>0</v>
      </c>
      <c r="M46" s="362">
        <f t="shared" si="16"/>
        <v>0</v>
      </c>
    </row>
    <row r="47" spans="1:13" x14ac:dyDescent="0.25">
      <c r="A47" s="137" t="s">
        <v>138</v>
      </c>
      <c r="B47" s="140"/>
      <c r="C47" s="154"/>
      <c r="D47" s="155">
        <v>0</v>
      </c>
      <c r="E47" s="155">
        <f t="shared" si="26"/>
        <v>0</v>
      </c>
      <c r="F47" s="156">
        <v>0</v>
      </c>
      <c r="G47" s="156">
        <v>0</v>
      </c>
      <c r="H47" s="415">
        <v>0</v>
      </c>
      <c r="I47" s="377">
        <f>SUM(F47:H47)</f>
        <v>0</v>
      </c>
      <c r="J47" s="377">
        <f>+D47*9/12</f>
        <v>0</v>
      </c>
      <c r="K47" s="134">
        <v>0</v>
      </c>
      <c r="L47" s="141" t="s">
        <v>16</v>
      </c>
      <c r="M47" s="362">
        <f t="shared" si="16"/>
        <v>0</v>
      </c>
    </row>
    <row r="48" spans="1:13" x14ac:dyDescent="0.25">
      <c r="A48" s="158" t="s">
        <v>139</v>
      </c>
      <c r="B48" s="142"/>
      <c r="C48" s="20"/>
      <c r="D48" s="24">
        <v>0</v>
      </c>
      <c r="E48" s="24">
        <f t="shared" si="26"/>
        <v>0</v>
      </c>
      <c r="F48" s="21">
        <v>0</v>
      </c>
      <c r="G48" s="21">
        <v>0</v>
      </c>
      <c r="H48" s="21">
        <v>0</v>
      </c>
      <c r="I48" s="377">
        <f>SUM(F48:H48)</f>
        <v>0</v>
      </c>
      <c r="J48" s="377">
        <f>+D48*9/12</f>
        <v>0</v>
      </c>
      <c r="K48" s="135">
        <v>0</v>
      </c>
      <c r="L48" s="22">
        <v>0</v>
      </c>
      <c r="M48" s="362">
        <f t="shared" si="16"/>
        <v>0</v>
      </c>
    </row>
    <row r="49" spans="1:14" x14ac:dyDescent="0.25">
      <c r="A49" s="160" t="s">
        <v>47</v>
      </c>
      <c r="B49" s="140"/>
      <c r="C49" s="539">
        <f>SUM(C45:C48)</f>
        <v>0</v>
      </c>
      <c r="D49" s="579">
        <f>SUM(D45:D48)</f>
        <v>47529977</v>
      </c>
      <c r="E49" s="580">
        <f>SUM(E45:E48)</f>
        <v>47529977</v>
      </c>
      <c r="F49" s="580">
        <f t="shared" ref="F49:M49" si="27">SUM(F45:F48)</f>
        <v>2829572</v>
      </c>
      <c r="G49" s="580">
        <f t="shared" si="27"/>
        <v>8275353</v>
      </c>
      <c r="H49" s="580">
        <f t="shared" si="27"/>
        <v>24099751</v>
      </c>
      <c r="I49" s="580">
        <f t="shared" si="27"/>
        <v>35204676</v>
      </c>
      <c r="J49" s="580">
        <f t="shared" si="27"/>
        <v>11882494.25</v>
      </c>
      <c r="K49" s="580">
        <f>I49-J49</f>
        <v>23322181.75</v>
      </c>
      <c r="L49" s="577">
        <f>IF(K49=0,"",K49/J49)</f>
        <v>1.9627345285692017</v>
      </c>
      <c r="M49" s="581">
        <f t="shared" si="27"/>
        <v>47529977</v>
      </c>
    </row>
    <row r="50" spans="1:14" x14ac:dyDescent="0.25">
      <c r="A50" s="136" t="s">
        <v>68</v>
      </c>
      <c r="B50" s="140">
        <v>5</v>
      </c>
      <c r="C50" s="154"/>
      <c r="D50" s="155">
        <v>0</v>
      </c>
      <c r="E50" s="155">
        <f t="shared" ref="E50:E52" si="28">D50</f>
        <v>0</v>
      </c>
      <c r="F50" s="156">
        <v>0</v>
      </c>
      <c r="G50" s="156">
        <v>0</v>
      </c>
      <c r="H50" s="415">
        <v>0</v>
      </c>
      <c r="I50" s="377">
        <f>SUM(F50:H50)</f>
        <v>0</v>
      </c>
      <c r="J50" s="377">
        <f>+D50*0.5</f>
        <v>0</v>
      </c>
      <c r="K50" s="134">
        <v>0</v>
      </c>
      <c r="L50" s="141" t="s">
        <v>16</v>
      </c>
      <c r="M50" s="362">
        <f t="shared" si="16"/>
        <v>0</v>
      </c>
    </row>
    <row r="51" spans="1:14" x14ac:dyDescent="0.25">
      <c r="A51" s="136" t="s">
        <v>69</v>
      </c>
      <c r="B51" s="140">
        <v>6</v>
      </c>
      <c r="C51" s="154"/>
      <c r="D51" s="155">
        <v>0</v>
      </c>
      <c r="E51" s="155">
        <f t="shared" si="28"/>
        <v>0</v>
      </c>
      <c r="F51" s="156">
        <v>0</v>
      </c>
      <c r="G51" s="156">
        <v>0</v>
      </c>
      <c r="H51" s="415">
        <v>0</v>
      </c>
      <c r="I51" s="377">
        <f>SUM(F51:H51)</f>
        <v>0</v>
      </c>
      <c r="J51" s="377">
        <f>+D51*0.5</f>
        <v>0</v>
      </c>
      <c r="K51" s="134">
        <v>0</v>
      </c>
      <c r="L51" s="141" t="s">
        <v>16</v>
      </c>
      <c r="M51" s="362">
        <f t="shared" si="16"/>
        <v>0</v>
      </c>
    </row>
    <row r="52" spans="1:14" x14ac:dyDescent="0.25">
      <c r="A52" s="136" t="s">
        <v>70</v>
      </c>
      <c r="B52" s="140"/>
      <c r="C52" s="154"/>
      <c r="D52" s="155">
        <v>0</v>
      </c>
      <c r="E52" s="155">
        <f t="shared" si="28"/>
        <v>0</v>
      </c>
      <c r="F52" s="156">
        <v>0</v>
      </c>
      <c r="G52" s="156">
        <v>0</v>
      </c>
      <c r="H52" s="415">
        <v>0</v>
      </c>
      <c r="I52" s="377">
        <f>SUM(F52:H52)</f>
        <v>0</v>
      </c>
      <c r="J52" s="377">
        <f>+D52*9/12</f>
        <v>0</v>
      </c>
      <c r="K52" s="134">
        <f>I52-J52</f>
        <v>0</v>
      </c>
      <c r="L52" s="141">
        <v>-1</v>
      </c>
      <c r="M52" s="362">
        <f t="shared" si="16"/>
        <v>0</v>
      </c>
    </row>
    <row r="53" spans="1:14" ht="15.75" thickBot="1" x14ac:dyDescent="0.3">
      <c r="A53" s="32" t="s">
        <v>140</v>
      </c>
      <c r="B53" s="23"/>
      <c r="C53" s="18">
        <f t="shared" ref="C53:J53" si="29">SUM(C49:C52)</f>
        <v>0</v>
      </c>
      <c r="D53" s="597">
        <f t="shared" si="29"/>
        <v>47529977</v>
      </c>
      <c r="E53" s="597">
        <f t="shared" si="29"/>
        <v>47529977</v>
      </c>
      <c r="F53" s="597">
        <f t="shared" si="29"/>
        <v>2829572</v>
      </c>
      <c r="G53" s="597">
        <f t="shared" si="29"/>
        <v>8275353</v>
      </c>
      <c r="H53" s="597">
        <f t="shared" si="29"/>
        <v>24099751</v>
      </c>
      <c r="I53" s="597">
        <f t="shared" si="29"/>
        <v>35204676</v>
      </c>
      <c r="J53" s="597">
        <f t="shared" si="29"/>
        <v>11882494.25</v>
      </c>
      <c r="K53" s="597">
        <f>I53-J53</f>
        <v>23322181.75</v>
      </c>
      <c r="L53" s="598">
        <f>IF(K53=0,"",K53/J53)</f>
        <v>1.9627345285692017</v>
      </c>
      <c r="M53" s="599">
        <f>SUM(M49:M52)</f>
        <v>47529977</v>
      </c>
      <c r="N53" s="535"/>
    </row>
  </sheetData>
  <mergeCells count="3">
    <mergeCell ref="A1:M1"/>
    <mergeCell ref="A2:A3"/>
    <mergeCell ref="B2:B3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G48"/>
  <sheetViews>
    <sheetView workbookViewId="0">
      <selection activeCell="F7" sqref="F7"/>
    </sheetView>
  </sheetViews>
  <sheetFormatPr defaultRowHeight="15" x14ac:dyDescent="0.25"/>
  <cols>
    <col min="1" max="1" width="34.85546875" customWidth="1"/>
    <col min="2" max="2" width="3.140625" bestFit="1" customWidth="1"/>
    <col min="3" max="3" width="6.85546875" bestFit="1" customWidth="1"/>
    <col min="4" max="4" width="6.5703125" bestFit="1" customWidth="1"/>
    <col min="5" max="5" width="6.85546875" bestFit="1" customWidth="1"/>
    <col min="6" max="6" width="6.5703125" bestFit="1" customWidth="1"/>
    <col min="7" max="7" width="6.85546875" bestFit="1" customWidth="1"/>
  </cols>
  <sheetData>
    <row r="1" spans="1:7" x14ac:dyDescent="0.25">
      <c r="A1" s="832" t="s">
        <v>407</v>
      </c>
      <c r="B1" s="832"/>
      <c r="C1" s="832"/>
      <c r="D1" s="832"/>
      <c r="E1" s="832"/>
      <c r="F1" s="832"/>
      <c r="G1" s="832"/>
    </row>
    <row r="2" spans="1:7" x14ac:dyDescent="0.25">
      <c r="A2" s="826" t="s">
        <v>0</v>
      </c>
      <c r="B2" s="830" t="s">
        <v>1</v>
      </c>
      <c r="C2" s="203" t="s">
        <v>363</v>
      </c>
      <c r="D2" s="211" t="s">
        <v>362</v>
      </c>
      <c r="E2" s="209"/>
      <c r="F2" s="209"/>
      <c r="G2" s="210"/>
    </row>
    <row r="3" spans="1:7" ht="25.5" x14ac:dyDescent="0.25">
      <c r="A3" s="827"/>
      <c r="B3" s="831"/>
      <c r="C3" s="203" t="s">
        <v>3</v>
      </c>
      <c r="D3" s="212" t="s">
        <v>4</v>
      </c>
      <c r="E3" s="204" t="s">
        <v>5</v>
      </c>
      <c r="F3" s="204" t="s">
        <v>408</v>
      </c>
      <c r="G3" s="205" t="s">
        <v>10</v>
      </c>
    </row>
    <row r="4" spans="1:7" x14ac:dyDescent="0.25">
      <c r="A4" s="197" t="s">
        <v>11</v>
      </c>
      <c r="B4" s="180">
        <v>1</v>
      </c>
      <c r="C4" s="207"/>
      <c r="D4" s="196"/>
      <c r="E4" s="179"/>
      <c r="F4" s="199"/>
      <c r="G4" s="208"/>
    </row>
    <row r="5" spans="1:7" x14ac:dyDescent="0.25">
      <c r="A5" s="195" t="s">
        <v>141</v>
      </c>
      <c r="B5" s="178"/>
      <c r="C5" s="193"/>
      <c r="D5" s="194"/>
      <c r="E5" s="220"/>
      <c r="F5" s="220"/>
      <c r="G5" s="177"/>
    </row>
    <row r="6" spans="1:7" x14ac:dyDescent="0.25">
      <c r="A6" s="201" t="s">
        <v>142</v>
      </c>
      <c r="B6" s="206"/>
      <c r="C6" s="214"/>
      <c r="D6" s="176"/>
      <c r="E6" s="192"/>
      <c r="F6" s="192"/>
      <c r="G6" s="175"/>
    </row>
    <row r="7" spans="1:7" x14ac:dyDescent="0.25">
      <c r="A7" s="200" t="s">
        <v>143</v>
      </c>
      <c r="B7" s="206"/>
      <c r="C7" s="217">
        <v>0</v>
      </c>
      <c r="D7" s="667">
        <v>-25027535.102546494</v>
      </c>
      <c r="E7" s="218">
        <v>0</v>
      </c>
      <c r="F7" s="415">
        <v>38800</v>
      </c>
      <c r="G7" s="219">
        <f>D7</f>
        <v>-25027535.102546494</v>
      </c>
    </row>
    <row r="8" spans="1:7" x14ac:dyDescent="0.25">
      <c r="A8" s="200" t="s">
        <v>144</v>
      </c>
      <c r="B8" s="206"/>
      <c r="C8" s="217">
        <v>0</v>
      </c>
      <c r="D8" s="667">
        <v>2140000</v>
      </c>
      <c r="E8" s="218">
        <v>0</v>
      </c>
      <c r="F8" s="218">
        <v>564424</v>
      </c>
      <c r="G8" s="219">
        <f t="shared" ref="G8:G12" si="0">D8</f>
        <v>2140000</v>
      </c>
    </row>
    <row r="9" spans="1:7" x14ac:dyDescent="0.25">
      <c r="A9" s="200" t="s">
        <v>145</v>
      </c>
      <c r="B9" s="206"/>
      <c r="C9" s="217">
        <v>0</v>
      </c>
      <c r="D9" s="667">
        <v>15047563</v>
      </c>
      <c r="E9" s="218">
        <v>0</v>
      </c>
      <c r="F9" s="415">
        <v>201528131</v>
      </c>
      <c r="G9" s="219">
        <f t="shared" si="0"/>
        <v>15047563</v>
      </c>
    </row>
    <row r="10" spans="1:7" x14ac:dyDescent="0.25">
      <c r="A10" s="200" t="s">
        <v>146</v>
      </c>
      <c r="B10" s="206"/>
      <c r="C10" s="217">
        <v>0</v>
      </c>
      <c r="D10" s="667">
        <v>0</v>
      </c>
      <c r="E10" s="218">
        <v>0</v>
      </c>
      <c r="F10" s="415">
        <v>-2304</v>
      </c>
      <c r="G10" s="219">
        <f t="shared" si="0"/>
        <v>0</v>
      </c>
    </row>
    <row r="11" spans="1:7" x14ac:dyDescent="0.25">
      <c r="A11" s="200" t="s">
        <v>147</v>
      </c>
      <c r="B11" s="206"/>
      <c r="C11" s="217">
        <v>0</v>
      </c>
      <c r="D11" s="667">
        <v>0</v>
      </c>
      <c r="E11" s="218">
        <v>0</v>
      </c>
      <c r="F11" s="218">
        <v>0</v>
      </c>
      <c r="G11" s="219">
        <f t="shared" si="0"/>
        <v>0</v>
      </c>
    </row>
    <row r="12" spans="1:7" x14ac:dyDescent="0.25">
      <c r="A12" s="200" t="s">
        <v>148</v>
      </c>
      <c r="B12" s="206"/>
      <c r="C12" s="217">
        <v>0</v>
      </c>
      <c r="D12" s="667">
        <v>535000</v>
      </c>
      <c r="E12" s="218">
        <v>0</v>
      </c>
      <c r="F12" s="415">
        <v>863643</v>
      </c>
      <c r="G12" s="219">
        <f t="shared" si="0"/>
        <v>535000</v>
      </c>
    </row>
    <row r="13" spans="1:7" x14ac:dyDescent="0.25">
      <c r="A13" s="181" t="s">
        <v>73</v>
      </c>
      <c r="B13" s="114"/>
      <c r="C13" s="14">
        <v>0</v>
      </c>
      <c r="D13" s="30">
        <f>SUM(D7:D12)</f>
        <v>-7304972.1025464945</v>
      </c>
      <c r="E13" s="19">
        <v>0</v>
      </c>
      <c r="F13" s="19">
        <f>SUM(F7:F12)</f>
        <v>202992694</v>
      </c>
      <c r="G13" s="31">
        <f>SUM(G7:G12)</f>
        <v>-7304972.1025464945</v>
      </c>
    </row>
    <row r="14" spans="1:7" x14ac:dyDescent="0.25">
      <c r="A14" s="202"/>
      <c r="B14" s="206"/>
      <c r="C14" s="215"/>
      <c r="D14" s="216"/>
      <c r="E14" s="198"/>
      <c r="F14" s="198"/>
      <c r="G14" s="213"/>
    </row>
    <row r="15" spans="1:7" x14ac:dyDescent="0.25">
      <c r="A15" s="201" t="s">
        <v>149</v>
      </c>
      <c r="B15" s="206"/>
      <c r="C15" s="215"/>
      <c r="D15" s="216"/>
      <c r="E15" s="198"/>
      <c r="F15" s="198"/>
      <c r="G15" s="213"/>
    </row>
    <row r="16" spans="1:7" x14ac:dyDescent="0.25">
      <c r="A16" s="200" t="s">
        <v>150</v>
      </c>
      <c r="B16" s="206"/>
      <c r="C16" s="217">
        <v>0</v>
      </c>
      <c r="D16" s="667">
        <v>0</v>
      </c>
      <c r="E16" s="218">
        <v>0</v>
      </c>
      <c r="F16" s="218">
        <v>0</v>
      </c>
      <c r="G16" s="219">
        <f t="shared" ref="G16:G24" si="1">D16</f>
        <v>0</v>
      </c>
    </row>
    <row r="17" spans="1:7" x14ac:dyDescent="0.25">
      <c r="A17" s="200" t="s">
        <v>151</v>
      </c>
      <c r="B17" s="206"/>
      <c r="C17" s="217">
        <v>0</v>
      </c>
      <c r="D17" s="667">
        <v>0</v>
      </c>
      <c r="E17" s="218">
        <v>0</v>
      </c>
      <c r="F17" s="218">
        <v>0</v>
      </c>
      <c r="G17" s="219">
        <f t="shared" si="1"/>
        <v>0</v>
      </c>
    </row>
    <row r="18" spans="1:7" x14ac:dyDescent="0.25">
      <c r="A18" s="200" t="s">
        <v>152</v>
      </c>
      <c r="B18" s="206"/>
      <c r="C18" s="217">
        <v>0</v>
      </c>
      <c r="D18" s="667">
        <v>17411856.050000001</v>
      </c>
      <c r="E18" s="218">
        <v>0</v>
      </c>
      <c r="F18" s="415">
        <v>17110063</v>
      </c>
      <c r="G18" s="219">
        <f t="shared" si="1"/>
        <v>17411856.050000001</v>
      </c>
    </row>
    <row r="19" spans="1:7" x14ac:dyDescent="0.25">
      <c r="A19" s="200" t="s">
        <v>153</v>
      </c>
      <c r="B19" s="206"/>
      <c r="C19" s="217">
        <v>0</v>
      </c>
      <c r="D19" s="667">
        <v>0</v>
      </c>
      <c r="E19" s="218">
        <v>0</v>
      </c>
      <c r="F19" s="415">
        <v>0</v>
      </c>
      <c r="G19" s="219">
        <f t="shared" si="1"/>
        <v>0</v>
      </c>
    </row>
    <row r="20" spans="1:7" x14ac:dyDescent="0.25">
      <c r="A20" s="200" t="s">
        <v>154</v>
      </c>
      <c r="B20" s="206"/>
      <c r="C20" s="217">
        <v>0</v>
      </c>
      <c r="D20" s="667">
        <v>644693523</v>
      </c>
      <c r="E20" s="218">
        <v>0</v>
      </c>
      <c r="F20" s="415">
        <v>692436629</v>
      </c>
      <c r="G20" s="219">
        <f t="shared" si="1"/>
        <v>644693523</v>
      </c>
    </row>
    <row r="21" spans="1:7" x14ac:dyDescent="0.25">
      <c r="A21" s="200" t="s">
        <v>155</v>
      </c>
      <c r="B21" s="206"/>
      <c r="C21" s="217">
        <v>0</v>
      </c>
      <c r="D21" s="667">
        <v>0</v>
      </c>
      <c r="E21" s="218">
        <v>0</v>
      </c>
      <c r="F21" s="218">
        <v>0</v>
      </c>
      <c r="G21" s="219">
        <f t="shared" si="1"/>
        <v>0</v>
      </c>
    </row>
    <row r="22" spans="1:7" x14ac:dyDescent="0.25">
      <c r="A22" s="200" t="s">
        <v>156</v>
      </c>
      <c r="B22" s="206"/>
      <c r="C22" s="217">
        <v>0</v>
      </c>
      <c r="D22" s="667">
        <v>0</v>
      </c>
      <c r="E22" s="218">
        <v>0</v>
      </c>
      <c r="F22" s="218">
        <v>0</v>
      </c>
      <c r="G22" s="219">
        <f t="shared" si="1"/>
        <v>0</v>
      </c>
    </row>
    <row r="23" spans="1:7" x14ac:dyDescent="0.25">
      <c r="A23" s="200" t="s">
        <v>157</v>
      </c>
      <c r="B23" s="206"/>
      <c r="C23" s="217">
        <v>0</v>
      </c>
      <c r="D23" s="667">
        <v>0</v>
      </c>
      <c r="E23" s="218">
        <v>0</v>
      </c>
      <c r="F23" s="218">
        <v>0</v>
      </c>
      <c r="G23" s="219">
        <f t="shared" si="1"/>
        <v>0</v>
      </c>
    </row>
    <row r="24" spans="1:7" x14ac:dyDescent="0.25">
      <c r="A24" s="200" t="s">
        <v>158</v>
      </c>
      <c r="B24" s="206"/>
      <c r="C24" s="217">
        <v>0</v>
      </c>
      <c r="D24" s="667">
        <v>0</v>
      </c>
      <c r="E24" s="218">
        <v>0</v>
      </c>
      <c r="F24" s="218">
        <v>0</v>
      </c>
      <c r="G24" s="219">
        <f t="shared" si="1"/>
        <v>0</v>
      </c>
    </row>
    <row r="25" spans="1:7" x14ac:dyDescent="0.25">
      <c r="A25" s="181" t="s">
        <v>74</v>
      </c>
      <c r="B25" s="114"/>
      <c r="C25" s="14">
        <v>0</v>
      </c>
      <c r="D25" s="30">
        <f>SUM(D16:D24)</f>
        <v>662105379.04999995</v>
      </c>
      <c r="E25" s="19">
        <v>0</v>
      </c>
      <c r="F25" s="19">
        <f>SUM(F16:F24)</f>
        <v>709546692</v>
      </c>
      <c r="G25" s="31">
        <f>SUM(G16:G24)</f>
        <v>662105379.04999995</v>
      </c>
    </row>
    <row r="26" spans="1:7" x14ac:dyDescent="0.25">
      <c r="A26" s="181" t="s">
        <v>159</v>
      </c>
      <c r="B26" s="114"/>
      <c r="C26" s="14">
        <v>0</v>
      </c>
      <c r="D26" s="30">
        <f>D13+D25</f>
        <v>654800406.9474535</v>
      </c>
      <c r="E26" s="19">
        <v>0</v>
      </c>
      <c r="F26" s="19">
        <f>+F13+F25</f>
        <v>912539386</v>
      </c>
      <c r="G26" s="31">
        <f>G13+G25</f>
        <v>654800406.9474535</v>
      </c>
    </row>
    <row r="27" spans="1:7" x14ac:dyDescent="0.25">
      <c r="A27" s="202"/>
      <c r="B27" s="206"/>
      <c r="C27" s="215"/>
      <c r="D27" s="216"/>
      <c r="E27" s="198"/>
      <c r="F27" s="198"/>
      <c r="G27" s="213"/>
    </row>
    <row r="28" spans="1:7" x14ac:dyDescent="0.25">
      <c r="A28" s="174" t="s">
        <v>160</v>
      </c>
      <c r="B28" s="206"/>
      <c r="C28" s="215"/>
      <c r="D28" s="216"/>
      <c r="E28" s="198"/>
      <c r="F28" s="198"/>
      <c r="G28" s="213"/>
    </row>
    <row r="29" spans="1:7" x14ac:dyDescent="0.25">
      <c r="A29" s="201" t="s">
        <v>161</v>
      </c>
      <c r="B29" s="182"/>
      <c r="C29" s="215"/>
      <c r="D29" s="216"/>
      <c r="E29" s="198"/>
      <c r="F29" s="198"/>
      <c r="G29" s="213"/>
    </row>
    <row r="30" spans="1:7" x14ac:dyDescent="0.25">
      <c r="A30" s="200" t="s">
        <v>162</v>
      </c>
      <c r="B30" s="206"/>
      <c r="C30" s="217">
        <v>0</v>
      </c>
      <c r="D30" s="667">
        <v>0</v>
      </c>
      <c r="E30" s="218">
        <v>0</v>
      </c>
      <c r="F30" s="415">
        <v>61684767</v>
      </c>
      <c r="G30" s="219">
        <f t="shared" ref="G30:G34" si="2">D30</f>
        <v>0</v>
      </c>
    </row>
    <row r="31" spans="1:7" x14ac:dyDescent="0.25">
      <c r="A31" s="200" t="s">
        <v>69</v>
      </c>
      <c r="B31" s="206"/>
      <c r="C31" s="217">
        <v>0</v>
      </c>
      <c r="D31" s="667">
        <v>64172</v>
      </c>
      <c r="E31" s="218">
        <v>0</v>
      </c>
      <c r="F31" s="218">
        <v>0</v>
      </c>
      <c r="G31" s="219">
        <f t="shared" si="2"/>
        <v>64172</v>
      </c>
    </row>
    <row r="32" spans="1:7" x14ac:dyDescent="0.25">
      <c r="A32" s="200" t="s">
        <v>163</v>
      </c>
      <c r="B32" s="206"/>
      <c r="C32" s="217">
        <v>0</v>
      </c>
      <c r="D32" s="667">
        <v>879436.21000000008</v>
      </c>
      <c r="E32" s="218">
        <v>0</v>
      </c>
      <c r="F32" s="415">
        <v>238982</v>
      </c>
      <c r="G32" s="219">
        <f t="shared" si="2"/>
        <v>879436.21000000008</v>
      </c>
    </row>
    <row r="33" spans="1:7" x14ac:dyDescent="0.25">
      <c r="A33" s="200" t="s">
        <v>164</v>
      </c>
      <c r="B33" s="206"/>
      <c r="C33" s="217">
        <v>0</v>
      </c>
      <c r="D33" s="667">
        <v>0</v>
      </c>
      <c r="E33" s="218">
        <v>0</v>
      </c>
      <c r="F33" s="415">
        <v>202732129</v>
      </c>
      <c r="G33" s="219">
        <f t="shared" si="2"/>
        <v>0</v>
      </c>
    </row>
    <row r="34" spans="1:7" x14ac:dyDescent="0.25">
      <c r="A34" s="200" t="s">
        <v>165</v>
      </c>
      <c r="B34" s="206"/>
      <c r="C34" s="217">
        <v>0</v>
      </c>
      <c r="D34" s="667">
        <v>0</v>
      </c>
      <c r="E34" s="218">
        <v>0</v>
      </c>
      <c r="F34" s="415">
        <v>154798579</v>
      </c>
      <c r="G34" s="219">
        <f t="shared" si="2"/>
        <v>0</v>
      </c>
    </row>
    <row r="35" spans="1:7" x14ac:dyDescent="0.25">
      <c r="A35" s="181" t="s">
        <v>75</v>
      </c>
      <c r="B35" s="114"/>
      <c r="C35" s="14">
        <v>0</v>
      </c>
      <c r="D35" s="30">
        <f>SUM(D30:D34)</f>
        <v>943608.21000000008</v>
      </c>
      <c r="E35" s="19">
        <v>0</v>
      </c>
      <c r="F35" s="19">
        <f>SUM(F30:F34)</f>
        <v>419454457</v>
      </c>
      <c r="G35" s="31">
        <f>SUM(G30:G34)</f>
        <v>943608.21000000008</v>
      </c>
    </row>
    <row r="36" spans="1:7" x14ac:dyDescent="0.25">
      <c r="A36" s="202"/>
      <c r="B36" s="206"/>
      <c r="C36" s="215"/>
      <c r="D36" s="216"/>
      <c r="E36" s="198"/>
      <c r="F36" s="198" t="s">
        <v>350</v>
      </c>
      <c r="G36" s="213"/>
    </row>
    <row r="37" spans="1:7" x14ac:dyDescent="0.25">
      <c r="A37" s="201" t="s">
        <v>166</v>
      </c>
      <c r="B37" s="206"/>
      <c r="C37" s="215"/>
      <c r="D37" s="216"/>
      <c r="E37" s="198"/>
      <c r="F37" s="198"/>
      <c r="G37" s="213"/>
    </row>
    <row r="38" spans="1:7" x14ac:dyDescent="0.25">
      <c r="A38" s="200" t="s">
        <v>69</v>
      </c>
      <c r="B38" s="206"/>
      <c r="C38" s="217">
        <v>0</v>
      </c>
      <c r="D38" s="667">
        <v>2591222</v>
      </c>
      <c r="E38" s="218">
        <v>0</v>
      </c>
      <c r="F38" s="415">
        <v>799052</v>
      </c>
      <c r="G38" s="219">
        <f t="shared" ref="G38:G39" si="3">D38</f>
        <v>2591222</v>
      </c>
    </row>
    <row r="39" spans="1:7" x14ac:dyDescent="0.25">
      <c r="A39" s="200" t="s">
        <v>165</v>
      </c>
      <c r="B39" s="206"/>
      <c r="C39" s="217">
        <v>0</v>
      </c>
      <c r="D39" s="667">
        <v>29224993</v>
      </c>
      <c r="E39" s="218">
        <v>0</v>
      </c>
      <c r="F39" s="415">
        <v>62731900</v>
      </c>
      <c r="G39" s="219">
        <f t="shared" si="3"/>
        <v>29224993</v>
      </c>
    </row>
    <row r="40" spans="1:7" x14ac:dyDescent="0.25">
      <c r="A40" s="181" t="s">
        <v>76</v>
      </c>
      <c r="B40" s="114"/>
      <c r="C40" s="14">
        <v>0</v>
      </c>
      <c r="D40" s="30">
        <f>SUM(D38:D39)</f>
        <v>31816215</v>
      </c>
      <c r="E40" s="19">
        <v>0</v>
      </c>
      <c r="F40" s="19">
        <f>SUM(F38:F39)</f>
        <v>63530952</v>
      </c>
      <c r="G40" s="31">
        <f>SUM(G38:G39)</f>
        <v>31816215</v>
      </c>
    </row>
    <row r="41" spans="1:7" x14ac:dyDescent="0.25">
      <c r="A41" s="181" t="s">
        <v>167</v>
      </c>
      <c r="B41" s="114"/>
      <c r="C41" s="14">
        <v>0</v>
      </c>
      <c r="D41" s="30">
        <f>D35+D40</f>
        <v>32759823.210000001</v>
      </c>
      <c r="E41" s="19">
        <v>0</v>
      </c>
      <c r="F41" s="19">
        <f>+F35+F40</f>
        <v>482985409</v>
      </c>
      <c r="G41" s="31">
        <f>G35+G40</f>
        <v>32759823.210000001</v>
      </c>
    </row>
    <row r="42" spans="1:7" x14ac:dyDescent="0.25">
      <c r="A42" s="202"/>
      <c r="B42" s="206"/>
      <c r="C42" s="215"/>
      <c r="D42" s="216"/>
      <c r="E42" s="198"/>
      <c r="F42" s="198"/>
      <c r="G42" s="213"/>
    </row>
    <row r="43" spans="1:7" x14ac:dyDescent="0.25">
      <c r="A43" s="183" t="s">
        <v>168</v>
      </c>
      <c r="B43" s="180">
        <v>2</v>
      </c>
      <c r="C43" s="17">
        <v>0</v>
      </c>
      <c r="D43" s="223">
        <f>D26-D41</f>
        <v>622040583.73745346</v>
      </c>
      <c r="E43" s="221">
        <v>0</v>
      </c>
      <c r="F43" s="221">
        <f>+F26-F41</f>
        <v>429553977</v>
      </c>
      <c r="G43" s="222">
        <f>G26-G41</f>
        <v>622040583.73745346</v>
      </c>
    </row>
    <row r="44" spans="1:7" x14ac:dyDescent="0.25">
      <c r="A44" s="202"/>
      <c r="B44" s="206"/>
      <c r="C44" s="215"/>
      <c r="D44" s="216"/>
      <c r="E44" s="198"/>
      <c r="F44" s="198"/>
      <c r="G44" s="213"/>
    </row>
    <row r="45" spans="1:7" x14ac:dyDescent="0.25">
      <c r="A45" s="174" t="s">
        <v>169</v>
      </c>
      <c r="B45" s="206"/>
      <c r="C45" s="215"/>
      <c r="D45" s="216"/>
      <c r="E45" s="198"/>
      <c r="F45" s="198"/>
      <c r="G45" s="213"/>
    </row>
    <row r="46" spans="1:7" x14ac:dyDescent="0.25">
      <c r="A46" s="200" t="s">
        <v>170</v>
      </c>
      <c r="B46" s="206"/>
      <c r="C46" s="217">
        <v>0</v>
      </c>
      <c r="D46" s="667">
        <v>622040583.73745346</v>
      </c>
      <c r="E46" s="218">
        <v>0</v>
      </c>
      <c r="F46" s="415">
        <v>429553977</v>
      </c>
      <c r="G46" s="219">
        <f>D46</f>
        <v>622040583.73745346</v>
      </c>
    </row>
    <row r="47" spans="1:7" x14ac:dyDescent="0.25">
      <c r="A47" s="200" t="s">
        <v>171</v>
      </c>
      <c r="B47" s="206"/>
      <c r="C47" s="217">
        <v>0</v>
      </c>
      <c r="D47" s="667">
        <v>0</v>
      </c>
      <c r="E47" s="218">
        <v>0</v>
      </c>
      <c r="F47" s="218">
        <v>0</v>
      </c>
      <c r="G47" s="219">
        <v>0</v>
      </c>
    </row>
    <row r="48" spans="1:7" ht="15.75" thickBot="1" x14ac:dyDescent="0.3">
      <c r="A48" s="172" t="s">
        <v>172</v>
      </c>
      <c r="B48" s="190">
        <v>2</v>
      </c>
      <c r="C48" s="29">
        <v>0</v>
      </c>
      <c r="D48" s="18">
        <f>SUM(D46:D47)</f>
        <v>622040583.73745346</v>
      </c>
      <c r="E48" s="111">
        <v>0</v>
      </c>
      <c r="F48" s="111">
        <f>SUM(F46:F47)</f>
        <v>429553977</v>
      </c>
      <c r="G48" s="110">
        <f>SUM(G46:G47)</f>
        <v>622040583.73745346</v>
      </c>
    </row>
  </sheetData>
  <mergeCells count="3">
    <mergeCell ref="A2:A3"/>
    <mergeCell ref="B2:B3"/>
    <mergeCell ref="A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M41"/>
  <sheetViews>
    <sheetView zoomScaleNormal="100" workbookViewId="0">
      <pane xSplit="2" ySplit="3" topLeftCell="E30" activePane="bottomRight" state="frozen"/>
      <selection pane="topRight" activeCell="C1" sqref="C1"/>
      <selection pane="bottomLeft" activeCell="A4" sqref="A4"/>
      <selection pane="bottomRight" activeCell="L37" sqref="L37"/>
    </sheetView>
  </sheetViews>
  <sheetFormatPr defaultRowHeight="15" x14ac:dyDescent="0.25"/>
  <cols>
    <col min="1" max="1" width="34.140625" bestFit="1" customWidth="1"/>
    <col min="2" max="2" width="3.140625" bestFit="1" customWidth="1"/>
    <col min="3" max="3" width="6.85546875" bestFit="1" customWidth="1"/>
    <col min="4" max="4" width="8.42578125" customWidth="1"/>
    <col min="5" max="5" width="9.42578125" bestFit="1" customWidth="1"/>
    <col min="6" max="6" width="8.5703125" customWidth="1"/>
    <col min="7" max="7" width="9.42578125" bestFit="1" customWidth="1"/>
    <col min="8" max="8" width="7.7109375" customWidth="1"/>
    <col min="9" max="9" width="7.28515625" customWidth="1"/>
    <col min="10" max="10" width="8.85546875" bestFit="1" customWidth="1"/>
    <col min="11" max="11" width="7.5703125" bestFit="1" customWidth="1"/>
    <col min="12" max="12" width="7.85546875" customWidth="1"/>
  </cols>
  <sheetData>
    <row r="1" spans="1:12" x14ac:dyDescent="0.25">
      <c r="A1" s="833" t="s">
        <v>361</v>
      </c>
      <c r="B1" s="833"/>
      <c r="C1" s="833"/>
      <c r="D1" s="833"/>
      <c r="E1" s="833"/>
      <c r="F1" s="833"/>
      <c r="G1" s="833"/>
      <c r="H1" s="833"/>
      <c r="I1" s="833"/>
      <c r="J1" s="833"/>
      <c r="K1" s="833"/>
      <c r="L1" s="833"/>
    </row>
    <row r="2" spans="1:12" x14ac:dyDescent="0.25">
      <c r="A2" s="826" t="s">
        <v>0</v>
      </c>
      <c r="B2" s="830" t="s">
        <v>1</v>
      </c>
      <c r="C2" s="240" t="s">
        <v>363</v>
      </c>
      <c r="D2" s="253" t="s">
        <v>362</v>
      </c>
      <c r="E2" s="250"/>
      <c r="F2" s="250"/>
      <c r="G2" s="411"/>
      <c r="H2" s="250"/>
      <c r="I2" s="250"/>
      <c r="J2" s="250"/>
      <c r="K2" s="250"/>
      <c r="L2" s="251"/>
    </row>
    <row r="3" spans="1:12" ht="51" x14ac:dyDescent="0.25">
      <c r="A3" s="827"/>
      <c r="B3" s="831"/>
      <c r="C3" s="242" t="s">
        <v>3</v>
      </c>
      <c r="D3" s="246" t="s">
        <v>4</v>
      </c>
      <c r="E3" s="241" t="s">
        <v>409</v>
      </c>
      <c r="F3" s="408" t="s">
        <v>410</v>
      </c>
      <c r="G3" s="408" t="s">
        <v>411</v>
      </c>
      <c r="H3" s="241" t="s">
        <v>392</v>
      </c>
      <c r="I3" s="241" t="s">
        <v>8</v>
      </c>
      <c r="J3" s="241" t="s">
        <v>9</v>
      </c>
      <c r="K3" s="248" t="s">
        <v>9</v>
      </c>
      <c r="L3" s="243" t="s">
        <v>10</v>
      </c>
    </row>
    <row r="4" spans="1:12" x14ac:dyDescent="0.25">
      <c r="A4" s="234" t="s">
        <v>11</v>
      </c>
      <c r="B4" s="180">
        <v>1</v>
      </c>
      <c r="C4" s="245"/>
      <c r="D4" s="185"/>
      <c r="E4" s="179"/>
      <c r="F4" s="236"/>
      <c r="G4" s="288"/>
      <c r="H4" s="236"/>
      <c r="I4" s="236"/>
      <c r="J4" s="236"/>
      <c r="K4" s="252" t="s">
        <v>12</v>
      </c>
      <c r="L4" s="249"/>
    </row>
    <row r="5" spans="1:12" x14ac:dyDescent="0.25">
      <c r="A5" s="233" t="s">
        <v>173</v>
      </c>
      <c r="B5" s="178"/>
      <c r="C5" s="193"/>
      <c r="D5" s="162"/>
      <c r="E5" s="262"/>
      <c r="F5" s="262"/>
      <c r="G5" s="262"/>
      <c r="H5" s="262"/>
      <c r="I5" s="262"/>
      <c r="J5" s="262"/>
      <c r="K5" s="262"/>
      <c r="L5" s="177"/>
    </row>
    <row r="6" spans="1:12" x14ac:dyDescent="0.25">
      <c r="A6" s="238" t="s">
        <v>174</v>
      </c>
      <c r="B6" s="244"/>
      <c r="C6" s="256"/>
      <c r="D6" s="232"/>
      <c r="E6" s="192"/>
      <c r="F6" s="192"/>
      <c r="G6" s="192"/>
      <c r="H6" s="192"/>
      <c r="I6" s="192"/>
      <c r="J6" s="192"/>
      <c r="K6" s="192"/>
      <c r="L6" s="175"/>
    </row>
    <row r="7" spans="1:12" x14ac:dyDescent="0.25">
      <c r="A7" s="237" t="s">
        <v>175</v>
      </c>
      <c r="B7" s="244"/>
      <c r="C7" s="258" t="s">
        <v>176</v>
      </c>
      <c r="D7" s="668">
        <v>9594232</v>
      </c>
      <c r="E7" s="415">
        <v>351012.74999999988</v>
      </c>
      <c r="F7" s="415">
        <v>1088020.8700000003</v>
      </c>
      <c r="G7" s="415">
        <v>1097453.0899999999</v>
      </c>
      <c r="H7" s="259">
        <f>SUM(E7:G7)</f>
        <v>2536486.71</v>
      </c>
      <c r="I7" s="259">
        <f>+D7/12*6</f>
        <v>4797116</v>
      </c>
      <c r="J7" s="235">
        <f t="shared" ref="J7:J17" si="0">H7-I7</f>
        <v>-2260629.29</v>
      </c>
      <c r="K7" s="247">
        <f>IF(J7=0,"",J7/I7)</f>
        <v>-0.47124757666898193</v>
      </c>
      <c r="L7" s="260">
        <v>9379181.2800000012</v>
      </c>
    </row>
    <row r="8" spans="1:12" x14ac:dyDescent="0.25">
      <c r="A8" s="237" t="s">
        <v>383</v>
      </c>
      <c r="B8" s="410"/>
      <c r="C8" s="360"/>
      <c r="D8" s="671">
        <v>24161697</v>
      </c>
      <c r="E8" s="415">
        <v>2156808</v>
      </c>
      <c r="F8" s="415">
        <v>1918014</v>
      </c>
      <c r="G8" s="415">
        <v>2057406</v>
      </c>
      <c r="H8" s="415">
        <f t="shared" ref="H8:H13" si="1">SUM(E8:G8)</f>
        <v>6132228</v>
      </c>
      <c r="I8" s="415">
        <f t="shared" ref="I8:I13" si="2">+D8/12*6</f>
        <v>12080848.5</v>
      </c>
      <c r="J8" s="405">
        <f t="shared" si="0"/>
        <v>-5948620.5</v>
      </c>
      <c r="K8" s="247">
        <f t="shared" ref="K8:K12" si="3">IF(J8=0,"",J8/I8)</f>
        <v>-0.49240088558349193</v>
      </c>
      <c r="L8" s="362">
        <v>21619871.969999999</v>
      </c>
    </row>
    <row r="9" spans="1:12" x14ac:dyDescent="0.25">
      <c r="A9" s="237" t="s">
        <v>384</v>
      </c>
      <c r="B9" s="410"/>
      <c r="C9" s="360"/>
      <c r="D9" s="671">
        <v>3647578.25</v>
      </c>
      <c r="E9" s="415">
        <v>57927</v>
      </c>
      <c r="F9" s="415">
        <v>819537</v>
      </c>
      <c r="G9" s="415">
        <v>2775122</v>
      </c>
      <c r="H9" s="415">
        <f t="shared" si="1"/>
        <v>3652586</v>
      </c>
      <c r="I9" s="415">
        <f t="shared" si="2"/>
        <v>1823789.125</v>
      </c>
      <c r="J9" s="405">
        <f t="shared" si="0"/>
        <v>1828796.875</v>
      </c>
      <c r="K9" s="247">
        <f t="shared" si="3"/>
        <v>1.0027457944185296</v>
      </c>
      <c r="L9" s="362">
        <v>8973774</v>
      </c>
    </row>
    <row r="10" spans="1:12" x14ac:dyDescent="0.25">
      <c r="A10" s="237" t="s">
        <v>177</v>
      </c>
      <c r="B10" s="244"/>
      <c r="C10" s="258"/>
      <c r="D10" s="668">
        <v>62840000</v>
      </c>
      <c r="E10" s="415">
        <v>0</v>
      </c>
      <c r="F10" s="415">
        <v>0</v>
      </c>
      <c r="G10" s="415">
        <v>0</v>
      </c>
      <c r="H10" s="415">
        <f t="shared" ref="H10:H17" si="4">SUM(E10:G10)</f>
        <v>0</v>
      </c>
      <c r="I10" s="259">
        <f t="shared" si="2"/>
        <v>31420000</v>
      </c>
      <c r="J10" s="235">
        <f t="shared" si="0"/>
        <v>-31420000</v>
      </c>
      <c r="K10" s="247">
        <f t="shared" si="3"/>
        <v>-1</v>
      </c>
      <c r="L10" s="260">
        <v>61088000</v>
      </c>
    </row>
    <row r="11" spans="1:12" x14ac:dyDescent="0.25">
      <c r="A11" s="237" t="s">
        <v>178</v>
      </c>
      <c r="B11" s="244"/>
      <c r="C11" s="258"/>
      <c r="D11" s="668">
        <v>47530000</v>
      </c>
      <c r="E11" s="415">
        <v>0</v>
      </c>
      <c r="F11" s="259">
        <v>13539182</v>
      </c>
      <c r="G11" s="415">
        <v>0</v>
      </c>
      <c r="H11" s="415">
        <f t="shared" si="1"/>
        <v>13539182</v>
      </c>
      <c r="I11" s="259">
        <f t="shared" si="2"/>
        <v>23765000</v>
      </c>
      <c r="J11" s="235">
        <f t="shared" si="0"/>
        <v>-10225818</v>
      </c>
      <c r="K11" s="247">
        <f t="shared" si="3"/>
        <v>-0.43028899642331159</v>
      </c>
      <c r="L11" s="260">
        <v>50247280.560000002</v>
      </c>
    </row>
    <row r="12" spans="1:12" x14ac:dyDescent="0.25">
      <c r="A12" s="237" t="s">
        <v>179</v>
      </c>
      <c r="B12" s="244"/>
      <c r="C12" s="258"/>
      <c r="D12" s="668">
        <v>9128882</v>
      </c>
      <c r="E12" s="259">
        <v>0</v>
      </c>
      <c r="F12" s="259">
        <v>0</v>
      </c>
      <c r="G12" s="415">
        <v>0</v>
      </c>
      <c r="H12" s="415">
        <f t="shared" si="1"/>
        <v>0</v>
      </c>
      <c r="I12" s="415">
        <f t="shared" si="2"/>
        <v>4564441</v>
      </c>
      <c r="J12" s="235">
        <f t="shared" si="0"/>
        <v>-4564441</v>
      </c>
      <c r="K12" s="247">
        <f t="shared" si="3"/>
        <v>-1</v>
      </c>
      <c r="L12" s="260">
        <v>0</v>
      </c>
    </row>
    <row r="13" spans="1:12" x14ac:dyDescent="0.25">
      <c r="A13" s="237" t="s">
        <v>180</v>
      </c>
      <c r="B13" s="244"/>
      <c r="C13" s="258"/>
      <c r="D13" s="668">
        <v>0</v>
      </c>
      <c r="E13" s="259">
        <v>0</v>
      </c>
      <c r="F13" s="259">
        <v>0</v>
      </c>
      <c r="G13" s="415">
        <v>0</v>
      </c>
      <c r="H13" s="415">
        <f t="shared" si="1"/>
        <v>0</v>
      </c>
      <c r="I13" s="415">
        <f t="shared" si="2"/>
        <v>0</v>
      </c>
      <c r="J13" s="235">
        <f t="shared" si="0"/>
        <v>0</v>
      </c>
      <c r="K13" s="247" t="s">
        <v>16</v>
      </c>
      <c r="L13" s="260">
        <f t="shared" ref="L13:L17" si="5">D13</f>
        <v>0</v>
      </c>
    </row>
    <row r="14" spans="1:12" x14ac:dyDescent="0.25">
      <c r="A14" s="238" t="s">
        <v>181</v>
      </c>
      <c r="B14" s="244"/>
      <c r="C14" s="257"/>
      <c r="D14" s="668"/>
      <c r="E14" s="235"/>
      <c r="F14" s="235"/>
      <c r="G14" s="405"/>
      <c r="H14" s="415"/>
      <c r="I14" s="415">
        <f t="shared" ref="I14:I17" si="6">+D14/12*3</f>
        <v>0</v>
      </c>
      <c r="J14" s="235">
        <f t="shared" si="0"/>
        <v>0</v>
      </c>
      <c r="K14" s="247"/>
      <c r="L14" s="255">
        <f t="shared" si="5"/>
        <v>0</v>
      </c>
    </row>
    <row r="15" spans="1:12" x14ac:dyDescent="0.25">
      <c r="A15" s="237" t="s">
        <v>182</v>
      </c>
      <c r="B15" s="244"/>
      <c r="C15" s="258"/>
      <c r="D15" s="668">
        <v>-129620757.45254649</v>
      </c>
      <c r="E15" s="415">
        <v>-6986545</v>
      </c>
      <c r="F15" s="415">
        <v>-6083149</v>
      </c>
      <c r="G15" s="674">
        <v>-14097229</v>
      </c>
      <c r="H15" s="415">
        <f>SUM(E15:G15)</f>
        <v>-27166923</v>
      </c>
      <c r="I15" s="415">
        <f>+D15/12*6</f>
        <v>-64810378.726273239</v>
      </c>
      <c r="J15" s="235">
        <f t="shared" si="0"/>
        <v>37643455.726273239</v>
      </c>
      <c r="K15" s="247">
        <f>IF(J15=0,"",J15/I15)</f>
        <v>-0.5808244985770018</v>
      </c>
      <c r="L15" s="260">
        <v>-99131341</v>
      </c>
    </row>
    <row r="16" spans="1:12" x14ac:dyDescent="0.25">
      <c r="A16" s="237" t="s">
        <v>38</v>
      </c>
      <c r="B16" s="244"/>
      <c r="C16" s="258"/>
      <c r="D16" s="668">
        <v>-634347</v>
      </c>
      <c r="E16" s="415">
        <v>-15354.89</v>
      </c>
      <c r="F16" s="415">
        <v>-133371.1</v>
      </c>
      <c r="G16" s="415">
        <v>-214378.3</v>
      </c>
      <c r="H16" s="415">
        <f>SUM(E16:G16)</f>
        <v>-363104.29</v>
      </c>
      <c r="I16" s="415">
        <f>+D16/12*6</f>
        <v>-317173.5</v>
      </c>
      <c r="J16" s="235">
        <f t="shared" si="0"/>
        <v>-45930.789999999979</v>
      </c>
      <c r="K16" s="247">
        <f>IF(J16=0,"",J16/I16)</f>
        <v>0.14481282326549974</v>
      </c>
      <c r="L16" s="260">
        <v>-839524.1</v>
      </c>
    </row>
    <row r="17" spans="1:13" x14ac:dyDescent="0.25">
      <c r="A17" s="237" t="s">
        <v>183</v>
      </c>
      <c r="B17" s="244"/>
      <c r="C17" s="258"/>
      <c r="D17" s="668">
        <v>0</v>
      </c>
      <c r="E17" s="259">
        <v>0</v>
      </c>
      <c r="F17" s="259">
        <v>0</v>
      </c>
      <c r="G17" s="415">
        <v>0</v>
      </c>
      <c r="H17" s="415">
        <f t="shared" si="4"/>
        <v>0</v>
      </c>
      <c r="I17" s="415">
        <f t="shared" si="6"/>
        <v>0</v>
      </c>
      <c r="J17" s="235">
        <f t="shared" si="0"/>
        <v>0</v>
      </c>
      <c r="K17" s="247" t="s">
        <v>16</v>
      </c>
      <c r="L17" s="260">
        <f t="shared" si="5"/>
        <v>0</v>
      </c>
    </row>
    <row r="18" spans="1:13" x14ac:dyDescent="0.25">
      <c r="A18" s="181" t="s">
        <v>184</v>
      </c>
      <c r="B18" s="114"/>
      <c r="C18" s="609">
        <v>0</v>
      </c>
      <c r="D18" s="607">
        <f>SUM(D7:D17)</f>
        <v>26647284.797453508</v>
      </c>
      <c r="E18" s="607">
        <f t="shared" ref="E18:L18" si="7">SUM(E7:E17)</f>
        <v>-4436152.1399999997</v>
      </c>
      <c r="F18" s="607">
        <f t="shared" si="7"/>
        <v>11148233.770000001</v>
      </c>
      <c r="G18" s="607">
        <f t="shared" si="7"/>
        <v>-8381626.21</v>
      </c>
      <c r="H18" s="607">
        <f t="shared" si="7"/>
        <v>-1669544.5799999991</v>
      </c>
      <c r="I18" s="607">
        <f t="shared" si="7"/>
        <v>13323642.398726761</v>
      </c>
      <c r="J18" s="607">
        <f t="shared" si="7"/>
        <v>-14993186.97872676</v>
      </c>
      <c r="K18" s="608">
        <f>IF(J18=0,"",J18/I18)</f>
        <v>-1.1253069190868965</v>
      </c>
      <c r="L18" s="610">
        <f t="shared" si="7"/>
        <v>51337242.710000001</v>
      </c>
      <c r="M18" s="535"/>
    </row>
    <row r="19" spans="1:13" x14ac:dyDescent="0.25">
      <c r="A19" s="239"/>
      <c r="B19" s="244"/>
      <c r="C19" s="257"/>
      <c r="D19" s="186"/>
      <c r="E19" s="235"/>
      <c r="F19" s="235"/>
      <c r="G19" s="405"/>
      <c r="H19" s="235"/>
      <c r="I19" s="235"/>
      <c r="J19" s="235"/>
      <c r="K19" s="235"/>
      <c r="L19" s="255"/>
    </row>
    <row r="20" spans="1:13" x14ac:dyDescent="0.25">
      <c r="A20" s="238" t="s">
        <v>185</v>
      </c>
      <c r="B20" s="244"/>
      <c r="C20" s="257"/>
      <c r="D20" s="186"/>
      <c r="E20" s="235"/>
      <c r="F20" s="235"/>
      <c r="G20" s="405"/>
      <c r="H20" s="235"/>
      <c r="I20" s="235"/>
      <c r="J20" s="235"/>
      <c r="K20" s="235"/>
      <c r="L20" s="255"/>
    </row>
    <row r="21" spans="1:13" x14ac:dyDescent="0.25">
      <c r="A21" s="238" t="s">
        <v>174</v>
      </c>
      <c r="B21" s="244"/>
      <c r="C21" s="257"/>
      <c r="D21" s="186"/>
      <c r="E21" s="235"/>
      <c r="F21" s="235"/>
      <c r="G21" s="405"/>
      <c r="H21" s="235"/>
      <c r="I21" s="235"/>
      <c r="J21" s="235"/>
      <c r="K21" s="235"/>
      <c r="L21" s="255"/>
    </row>
    <row r="22" spans="1:13" x14ac:dyDescent="0.25">
      <c r="A22" s="237" t="s">
        <v>186</v>
      </c>
      <c r="B22" s="244"/>
      <c r="C22" s="258"/>
      <c r="D22" s="261">
        <v>0</v>
      </c>
      <c r="E22" s="259">
        <v>0</v>
      </c>
      <c r="F22" s="259">
        <v>0</v>
      </c>
      <c r="G22" s="415">
        <v>0</v>
      </c>
      <c r="H22" s="415">
        <f>SUM(E22:G22)</f>
        <v>0</v>
      </c>
      <c r="I22" s="259">
        <v>0</v>
      </c>
      <c r="J22" s="235">
        <v>0</v>
      </c>
      <c r="K22" s="247" t="s">
        <v>16</v>
      </c>
      <c r="L22" s="260">
        <v>0</v>
      </c>
    </row>
    <row r="23" spans="1:13" x14ac:dyDescent="0.25">
      <c r="A23" s="237" t="s">
        <v>187</v>
      </c>
      <c r="B23" s="244"/>
      <c r="C23" s="258"/>
      <c r="D23" s="261">
        <v>0</v>
      </c>
      <c r="E23" s="259">
        <v>0</v>
      </c>
      <c r="F23" s="259">
        <v>0</v>
      </c>
      <c r="G23" s="415">
        <v>0</v>
      </c>
      <c r="H23" s="415">
        <f>SUM(E23:G23)</f>
        <v>0</v>
      </c>
      <c r="I23" s="259">
        <v>0</v>
      </c>
      <c r="J23" s="235">
        <v>0</v>
      </c>
      <c r="K23" s="247" t="s">
        <v>16</v>
      </c>
      <c r="L23" s="260">
        <v>0</v>
      </c>
    </row>
    <row r="24" spans="1:13" x14ac:dyDescent="0.25">
      <c r="A24" s="237" t="s">
        <v>188</v>
      </c>
      <c r="B24" s="182"/>
      <c r="C24" s="258"/>
      <c r="D24" s="261">
        <v>0</v>
      </c>
      <c r="E24" s="259">
        <v>0</v>
      </c>
      <c r="F24" s="259">
        <v>0</v>
      </c>
      <c r="G24" s="415">
        <v>0</v>
      </c>
      <c r="H24" s="415">
        <f>SUM(E24:G24)</f>
        <v>0</v>
      </c>
      <c r="I24" s="259">
        <v>0</v>
      </c>
      <c r="J24" s="235">
        <v>0</v>
      </c>
      <c r="K24" s="247" t="s">
        <v>16</v>
      </c>
      <c r="L24" s="260">
        <v>0</v>
      </c>
    </row>
    <row r="25" spans="1:13" x14ac:dyDescent="0.25">
      <c r="A25" s="237" t="s">
        <v>189</v>
      </c>
      <c r="B25" s="244"/>
      <c r="C25" s="258"/>
      <c r="D25" s="261">
        <v>0</v>
      </c>
      <c r="E25" s="259">
        <v>0</v>
      </c>
      <c r="F25" s="259">
        <v>0</v>
      </c>
      <c r="G25" s="415">
        <v>0</v>
      </c>
      <c r="H25" s="415">
        <f>SUM(E25:G25)</f>
        <v>0</v>
      </c>
      <c r="I25" s="259">
        <v>0</v>
      </c>
      <c r="J25" s="235">
        <v>0</v>
      </c>
      <c r="K25" s="247" t="s">
        <v>16</v>
      </c>
      <c r="L25" s="260">
        <v>0</v>
      </c>
    </row>
    <row r="26" spans="1:13" x14ac:dyDescent="0.25">
      <c r="A26" s="238" t="s">
        <v>181</v>
      </c>
      <c r="B26" s="244"/>
      <c r="C26" s="257"/>
      <c r="D26" s="186"/>
      <c r="E26" s="235"/>
      <c r="F26" s="235"/>
      <c r="G26" s="405"/>
      <c r="H26" s="235"/>
      <c r="I26" s="235"/>
      <c r="J26" s="235"/>
      <c r="K26" s="235"/>
      <c r="L26" s="255"/>
    </row>
    <row r="27" spans="1:13" x14ac:dyDescent="0.25">
      <c r="A27" s="237" t="s">
        <v>190</v>
      </c>
      <c r="B27" s="244"/>
      <c r="C27" s="258">
        <v>0</v>
      </c>
      <c r="D27" s="669">
        <v>-47529977.740000002</v>
      </c>
      <c r="E27" s="415">
        <v>-2829571.75</v>
      </c>
      <c r="F27" s="415">
        <v>-8275352.8399999999</v>
      </c>
      <c r="G27" s="415">
        <v>-24099751</v>
      </c>
      <c r="H27" s="415">
        <f>SUM(E27:G27)</f>
        <v>-35204675.590000004</v>
      </c>
      <c r="I27" s="259">
        <f>+D27/12*3</f>
        <v>-11882494.435000001</v>
      </c>
      <c r="J27" s="235">
        <f>I27-H27</f>
        <v>23322181.155000001</v>
      </c>
      <c r="K27" s="247">
        <f>IF(J27=0,"",J27/I27)</f>
        <v>-1.9627344479374882</v>
      </c>
      <c r="L27" s="260">
        <v>-65737186.979999997</v>
      </c>
    </row>
    <row r="28" spans="1:13" x14ac:dyDescent="0.25">
      <c r="A28" s="181" t="s">
        <v>191</v>
      </c>
      <c r="B28" s="114"/>
      <c r="C28" s="595">
        <v>0</v>
      </c>
      <c r="D28" s="607">
        <f>SUM(D22:D27)</f>
        <v>-47529977.740000002</v>
      </c>
      <c r="E28" s="607">
        <f t="shared" ref="E28:L28" si="8">SUM(E22:E27)</f>
        <v>-2829571.75</v>
      </c>
      <c r="F28" s="607">
        <f t="shared" si="8"/>
        <v>-8275352.8399999999</v>
      </c>
      <c r="G28" s="607">
        <f t="shared" si="8"/>
        <v>-24099751</v>
      </c>
      <c r="H28" s="607">
        <f t="shared" si="8"/>
        <v>-35204675.590000004</v>
      </c>
      <c r="I28" s="607">
        <f t="shared" si="8"/>
        <v>-11882494.435000001</v>
      </c>
      <c r="J28" s="607">
        <f t="shared" si="8"/>
        <v>23322181.155000001</v>
      </c>
      <c r="K28" s="608">
        <f>IF(J28=0,"",J28/I28)</f>
        <v>-1.9627344479374882</v>
      </c>
      <c r="L28" s="609">
        <f t="shared" si="8"/>
        <v>-65737186.979999997</v>
      </c>
    </row>
    <row r="29" spans="1:13" x14ac:dyDescent="0.25">
      <c r="A29" s="239"/>
      <c r="B29" s="244"/>
      <c r="C29" s="257"/>
      <c r="D29" s="186"/>
      <c r="E29" s="235"/>
      <c r="F29" s="235"/>
      <c r="G29" s="405"/>
      <c r="H29" s="235"/>
      <c r="I29" s="235"/>
      <c r="J29" s="235"/>
      <c r="K29" s="235"/>
      <c r="L29" s="255"/>
    </row>
    <row r="30" spans="1:13" x14ac:dyDescent="0.25">
      <c r="A30" s="238" t="s">
        <v>192</v>
      </c>
      <c r="B30" s="244"/>
      <c r="C30" s="257"/>
      <c r="D30" s="186"/>
      <c r="E30" s="235"/>
      <c r="F30" s="235"/>
      <c r="G30" s="405"/>
      <c r="H30" s="235"/>
      <c r="I30" s="235"/>
      <c r="J30" s="235"/>
      <c r="K30" s="235"/>
      <c r="L30" s="255"/>
    </row>
    <row r="31" spans="1:13" x14ac:dyDescent="0.25">
      <c r="A31" s="238" t="s">
        <v>174</v>
      </c>
      <c r="B31" s="244"/>
      <c r="C31" s="257"/>
      <c r="D31" s="186"/>
      <c r="E31" s="235"/>
      <c r="F31" s="235"/>
      <c r="G31" s="405"/>
      <c r="H31" s="235"/>
      <c r="I31" s="235"/>
      <c r="J31" s="235"/>
      <c r="K31" s="235"/>
      <c r="L31" s="255"/>
    </row>
    <row r="32" spans="1:13" x14ac:dyDescent="0.25">
      <c r="A32" s="237" t="s">
        <v>193</v>
      </c>
      <c r="B32" s="244"/>
      <c r="C32" s="258"/>
      <c r="D32" s="261">
        <v>0</v>
      </c>
      <c r="E32" s="259">
        <v>0</v>
      </c>
      <c r="F32" s="259">
        <v>0</v>
      </c>
      <c r="G32" s="415">
        <v>0</v>
      </c>
      <c r="H32" s="415">
        <f>SUM(E32:G32)</f>
        <v>0</v>
      </c>
      <c r="I32" s="259">
        <v>0</v>
      </c>
      <c r="J32" s="235">
        <v>0</v>
      </c>
      <c r="K32" s="247" t="s">
        <v>16</v>
      </c>
      <c r="L32" s="260">
        <v>0</v>
      </c>
    </row>
    <row r="33" spans="1:13" x14ac:dyDescent="0.25">
      <c r="A33" s="237" t="s">
        <v>194</v>
      </c>
      <c r="B33" s="244"/>
      <c r="C33" s="258"/>
      <c r="D33" s="261">
        <v>0</v>
      </c>
      <c r="E33" s="259">
        <v>0</v>
      </c>
      <c r="F33" s="259">
        <v>0</v>
      </c>
      <c r="G33" s="415">
        <v>0</v>
      </c>
      <c r="H33" s="415">
        <f>SUM(E33:G33)</f>
        <v>0</v>
      </c>
      <c r="I33" s="259">
        <v>0</v>
      </c>
      <c r="J33" s="235">
        <v>0</v>
      </c>
      <c r="K33" s="247" t="s">
        <v>16</v>
      </c>
      <c r="L33" s="260">
        <v>0</v>
      </c>
    </row>
    <row r="34" spans="1:13" x14ac:dyDescent="0.25">
      <c r="A34" s="237" t="s">
        <v>195</v>
      </c>
      <c r="B34" s="244"/>
      <c r="C34" s="258"/>
      <c r="D34" s="261">
        <v>0</v>
      </c>
      <c r="E34" s="259">
        <v>0</v>
      </c>
      <c r="F34" s="259">
        <v>0</v>
      </c>
      <c r="G34" s="415">
        <v>0</v>
      </c>
      <c r="H34" s="415">
        <f>SUM(E34:G34)</f>
        <v>0</v>
      </c>
      <c r="I34" s="259">
        <v>0</v>
      </c>
      <c r="J34" s="235">
        <v>0</v>
      </c>
      <c r="K34" s="247" t="s">
        <v>16</v>
      </c>
      <c r="L34" s="260">
        <v>0</v>
      </c>
    </row>
    <row r="35" spans="1:13" x14ac:dyDescent="0.25">
      <c r="A35" s="238" t="s">
        <v>181</v>
      </c>
      <c r="B35" s="244"/>
      <c r="C35" s="257"/>
      <c r="D35" s="186"/>
      <c r="E35" s="235"/>
      <c r="F35" s="235"/>
      <c r="G35" s="405"/>
      <c r="H35" s="235"/>
      <c r="I35" s="235"/>
      <c r="J35" s="235"/>
      <c r="K35" s="247" t="s">
        <v>16</v>
      </c>
      <c r="L35" s="255"/>
    </row>
    <row r="36" spans="1:13" x14ac:dyDescent="0.25">
      <c r="A36" s="237" t="s">
        <v>196</v>
      </c>
      <c r="B36" s="244"/>
      <c r="C36" s="258"/>
      <c r="D36" s="669">
        <v>-920142.94</v>
      </c>
      <c r="E36" s="259">
        <v>0</v>
      </c>
      <c r="F36" s="259">
        <v>0</v>
      </c>
      <c r="G36" s="415">
        <v>0</v>
      </c>
      <c r="H36" s="415">
        <f>SUM(E36:G36)</f>
        <v>0</v>
      </c>
      <c r="I36" s="259">
        <v>0</v>
      </c>
      <c r="J36" s="405">
        <f>I36-H36</f>
        <v>0</v>
      </c>
      <c r="K36" s="247">
        <v>0</v>
      </c>
      <c r="L36" s="260">
        <v>-102426</v>
      </c>
    </row>
    <row r="37" spans="1:13" x14ac:dyDescent="0.25">
      <c r="A37" s="181" t="s">
        <v>197</v>
      </c>
      <c r="B37" s="114"/>
      <c r="C37" s="164">
        <f>SUM(C32:C36)</f>
        <v>0</v>
      </c>
      <c r="D37" s="164">
        <f>SUM(D32:D36)</f>
        <v>-920142.94</v>
      </c>
      <c r="E37" s="164">
        <f t="shared" ref="E37:L37" si="9">SUM(E32:E36)</f>
        <v>0</v>
      </c>
      <c r="F37" s="164">
        <f t="shared" si="9"/>
        <v>0</v>
      </c>
      <c r="G37" s="164">
        <f t="shared" si="9"/>
        <v>0</v>
      </c>
      <c r="H37" s="164">
        <f t="shared" si="9"/>
        <v>0</v>
      </c>
      <c r="I37" s="164">
        <f t="shared" si="9"/>
        <v>0</v>
      </c>
      <c r="J37" s="164">
        <f t="shared" si="9"/>
        <v>0</v>
      </c>
      <c r="K37" s="164">
        <f t="shared" si="9"/>
        <v>0</v>
      </c>
      <c r="L37" s="540">
        <f t="shared" si="9"/>
        <v>-102426</v>
      </c>
      <c r="M37" s="535"/>
    </row>
    <row r="38" spans="1:13" x14ac:dyDescent="0.25">
      <c r="A38" s="239"/>
      <c r="B38" s="244"/>
      <c r="C38" s="257"/>
      <c r="D38" s="186"/>
      <c r="E38" s="235"/>
      <c r="F38" s="235"/>
      <c r="G38" s="405"/>
      <c r="H38" s="235"/>
      <c r="I38" s="235"/>
      <c r="J38" s="235"/>
      <c r="K38" s="235"/>
      <c r="L38" s="255"/>
    </row>
    <row r="39" spans="1:13" x14ac:dyDescent="0.25">
      <c r="A39" s="238" t="s">
        <v>198</v>
      </c>
      <c r="B39" s="244"/>
      <c r="C39" s="611">
        <v>0</v>
      </c>
      <c r="D39" s="612">
        <f>+D18+D28+D37</f>
        <v>-21802835.882546496</v>
      </c>
      <c r="E39" s="613">
        <f t="shared" ref="E39:G39" si="10">+E18+E28+E37</f>
        <v>-7265723.8899999997</v>
      </c>
      <c r="F39" s="613">
        <f t="shared" si="10"/>
        <v>2872880.9300000016</v>
      </c>
      <c r="G39" s="613">
        <f t="shared" si="10"/>
        <v>-32481377.210000001</v>
      </c>
      <c r="H39" s="613">
        <f>+H18+H28+H37</f>
        <v>-36874220.170000002</v>
      </c>
      <c r="I39" s="613">
        <f>+I18+I28+I37</f>
        <v>1441147.9637267608</v>
      </c>
      <c r="J39" s="614">
        <f>I39-H39</f>
        <v>38315368.133726761</v>
      </c>
      <c r="K39" s="728">
        <f>IF(J39=0,"",J39/I39)</f>
        <v>26.586699699206797</v>
      </c>
      <c r="L39" s="613">
        <f>D39</f>
        <v>-21802835.882546496</v>
      </c>
      <c r="M39" s="535"/>
    </row>
    <row r="40" spans="1:13" x14ac:dyDescent="0.25">
      <c r="A40" s="237" t="s">
        <v>199</v>
      </c>
      <c r="B40" s="244"/>
      <c r="C40" s="258"/>
      <c r="D40" s="669">
        <v>-3224699.2199999988</v>
      </c>
      <c r="E40" s="415">
        <v>16079943</v>
      </c>
      <c r="F40" s="235">
        <f>E41</f>
        <v>8814219.1099999994</v>
      </c>
      <c r="G40" s="405">
        <f>+F41</f>
        <v>11687100.040000001</v>
      </c>
      <c r="H40" s="259">
        <f>G41</f>
        <v>-20794277.170000002</v>
      </c>
      <c r="I40" s="235">
        <v>1627</v>
      </c>
      <c r="J40" s="235">
        <f t="shared" ref="J40:J41" si="11">I40-H40</f>
        <v>20795904.170000002</v>
      </c>
      <c r="K40" s="729">
        <f t="shared" ref="K40:K41" si="12">IF(J40=0,"",J40/I40)</f>
        <v>12781.748106945299</v>
      </c>
      <c r="L40" s="255">
        <f t="shared" ref="L40:L41" si="13">D40</f>
        <v>-3224699.2199999988</v>
      </c>
    </row>
    <row r="41" spans="1:13" x14ac:dyDescent="0.25">
      <c r="A41" s="254" t="s">
        <v>200</v>
      </c>
      <c r="B41" s="180"/>
      <c r="C41" s="231">
        <v>0</v>
      </c>
      <c r="D41" s="163">
        <f>+D39+D40</f>
        <v>-25027535.102546494</v>
      </c>
      <c r="E41" s="187">
        <f>+E40+E39</f>
        <v>8814219.1099999994</v>
      </c>
      <c r="F41" s="187">
        <f>+F40+F39</f>
        <v>11687100.040000001</v>
      </c>
      <c r="G41" s="187">
        <f>+G40+G39</f>
        <v>-20794277.170000002</v>
      </c>
      <c r="H41" s="187">
        <f>+H40+H39</f>
        <v>-57668497.340000004</v>
      </c>
      <c r="I41" s="187">
        <v>268075.68166666944</v>
      </c>
      <c r="J41" s="187">
        <f t="shared" si="11"/>
        <v>57936573.021666676</v>
      </c>
      <c r="K41" s="730">
        <f t="shared" si="12"/>
        <v>216.12021150693613</v>
      </c>
      <c r="L41" s="230">
        <f t="shared" si="13"/>
        <v>-25027535.102546494</v>
      </c>
    </row>
  </sheetData>
  <mergeCells count="3">
    <mergeCell ref="A2:A3"/>
    <mergeCell ref="B2:B3"/>
    <mergeCell ref="A1:L1"/>
  </mergeCells>
  <pageMargins left="0.7" right="0.7" top="0.75" bottom="0.75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E40"/>
  <sheetViews>
    <sheetView workbookViewId="0">
      <selection activeCell="A2" sqref="A2:A3"/>
    </sheetView>
  </sheetViews>
  <sheetFormatPr defaultRowHeight="15" x14ac:dyDescent="0.25"/>
  <cols>
    <col min="2" max="2" width="18.140625" bestFit="1" customWidth="1"/>
    <col min="3" max="3" width="6.5703125" bestFit="1" customWidth="1"/>
    <col min="4" max="4" width="22.140625" bestFit="1" customWidth="1"/>
    <col min="5" max="5" width="26" bestFit="1" customWidth="1"/>
  </cols>
  <sheetData>
    <row r="1" spans="1:5" x14ac:dyDescent="0.25">
      <c r="A1" s="833" t="s">
        <v>365</v>
      </c>
      <c r="B1" s="833"/>
      <c r="C1" s="833"/>
      <c r="D1" s="833"/>
      <c r="E1" s="833"/>
    </row>
    <row r="2" spans="1:5" x14ac:dyDescent="0.25">
      <c r="A2" s="830" t="s">
        <v>1</v>
      </c>
      <c r="B2" s="826" t="s">
        <v>0</v>
      </c>
      <c r="C2" s="278"/>
      <c r="D2" s="278"/>
      <c r="E2" s="279"/>
    </row>
    <row r="3" spans="1:5" x14ac:dyDescent="0.25">
      <c r="A3" s="831"/>
      <c r="B3" s="827"/>
      <c r="C3" s="272" t="s">
        <v>201</v>
      </c>
      <c r="D3" s="272" t="s">
        <v>202</v>
      </c>
      <c r="E3" s="267" t="s">
        <v>203</v>
      </c>
    </row>
    <row r="4" spans="1:5" x14ac:dyDescent="0.25">
      <c r="A4" s="270"/>
      <c r="B4" s="269" t="s">
        <v>11</v>
      </c>
      <c r="C4" s="277"/>
      <c r="D4" s="271"/>
      <c r="E4" s="268"/>
    </row>
    <row r="5" spans="1:5" x14ac:dyDescent="0.25">
      <c r="A5" s="276">
        <v>1</v>
      </c>
      <c r="B5" s="275" t="s">
        <v>13</v>
      </c>
      <c r="C5" s="274"/>
      <c r="D5" s="274"/>
      <c r="E5" s="274"/>
    </row>
    <row r="6" spans="1:5" x14ac:dyDescent="0.25">
      <c r="A6" s="273"/>
      <c r="B6" s="284"/>
      <c r="C6" s="283"/>
      <c r="D6" s="284"/>
      <c r="E6" s="284"/>
    </row>
    <row r="7" spans="1:5" x14ac:dyDescent="0.25">
      <c r="A7" s="273"/>
      <c r="B7" s="284"/>
      <c r="C7" s="283"/>
      <c r="D7" s="284"/>
      <c r="E7" s="284"/>
    </row>
    <row r="8" spans="1:5" x14ac:dyDescent="0.25">
      <c r="A8" s="273"/>
      <c r="B8" s="284"/>
      <c r="C8" s="283"/>
      <c r="D8" s="284"/>
      <c r="E8" s="284"/>
    </row>
    <row r="9" spans="1:5" x14ac:dyDescent="0.25">
      <c r="A9" s="273"/>
      <c r="B9" s="284"/>
      <c r="C9" s="283"/>
      <c r="D9" s="284"/>
      <c r="E9" s="284"/>
    </row>
    <row r="10" spans="1:5" x14ac:dyDescent="0.25">
      <c r="A10" s="273">
        <v>2</v>
      </c>
      <c r="B10" s="280" t="s">
        <v>33</v>
      </c>
      <c r="C10" s="281"/>
      <c r="D10" s="281"/>
      <c r="E10" s="281"/>
    </row>
    <row r="11" spans="1:5" x14ac:dyDescent="0.25">
      <c r="A11" s="273"/>
      <c r="B11" s="284"/>
      <c r="C11" s="283"/>
      <c r="D11" s="284"/>
      <c r="E11" s="284"/>
    </row>
    <row r="12" spans="1:5" x14ac:dyDescent="0.25">
      <c r="A12" s="273"/>
      <c r="B12" s="284"/>
      <c r="C12" s="283"/>
      <c r="D12" s="284"/>
      <c r="E12" s="284"/>
    </row>
    <row r="13" spans="1:5" x14ac:dyDescent="0.25">
      <c r="A13" s="273"/>
      <c r="B13" s="284"/>
      <c r="C13" s="283"/>
      <c r="D13" s="284"/>
      <c r="E13" s="284"/>
    </row>
    <row r="14" spans="1:5" x14ac:dyDescent="0.25">
      <c r="A14" s="273"/>
      <c r="B14" s="284"/>
      <c r="C14" s="283"/>
      <c r="D14" s="284"/>
      <c r="E14" s="284"/>
    </row>
    <row r="15" spans="1:5" x14ac:dyDescent="0.25">
      <c r="A15" s="273">
        <v>3</v>
      </c>
      <c r="B15" s="280" t="s">
        <v>204</v>
      </c>
      <c r="C15" s="281"/>
      <c r="D15" s="281"/>
      <c r="E15" s="281"/>
    </row>
    <row r="16" spans="1:5" x14ac:dyDescent="0.25">
      <c r="A16" s="273"/>
      <c r="B16" s="284"/>
      <c r="C16" s="283"/>
      <c r="D16" s="284"/>
      <c r="E16" s="284"/>
    </row>
    <row r="17" spans="1:5" x14ac:dyDescent="0.25">
      <c r="A17" s="273"/>
      <c r="B17" s="284"/>
      <c r="C17" s="283"/>
      <c r="D17" s="284"/>
      <c r="E17" s="284"/>
    </row>
    <row r="18" spans="1:5" x14ac:dyDescent="0.25">
      <c r="A18" s="273"/>
      <c r="B18" s="284"/>
      <c r="C18" s="283"/>
      <c r="D18" s="284"/>
      <c r="E18" s="284"/>
    </row>
    <row r="19" spans="1:5" x14ac:dyDescent="0.25">
      <c r="A19" s="273"/>
      <c r="B19" s="284"/>
      <c r="C19" s="283"/>
      <c r="D19" s="284"/>
      <c r="E19" s="284"/>
    </row>
    <row r="20" spans="1:5" x14ac:dyDescent="0.25">
      <c r="A20" s="273">
        <v>4</v>
      </c>
      <c r="B20" s="280" t="s">
        <v>205</v>
      </c>
      <c r="C20" s="281"/>
      <c r="D20" s="281"/>
      <c r="E20" s="281"/>
    </row>
    <row r="21" spans="1:5" x14ac:dyDescent="0.25">
      <c r="A21" s="273"/>
      <c r="B21" s="284"/>
      <c r="C21" s="283"/>
      <c r="D21" s="284"/>
      <c r="E21" s="284"/>
    </row>
    <row r="22" spans="1:5" x14ac:dyDescent="0.25">
      <c r="A22" s="273"/>
      <c r="B22" s="284"/>
      <c r="C22" s="283"/>
      <c r="D22" s="284"/>
      <c r="E22" s="284"/>
    </row>
    <row r="23" spans="1:5" x14ac:dyDescent="0.25">
      <c r="A23" s="273"/>
      <c r="B23" s="284"/>
      <c r="C23" s="283"/>
      <c r="D23" s="284"/>
      <c r="E23" s="284"/>
    </row>
    <row r="24" spans="1:5" x14ac:dyDescent="0.25">
      <c r="A24" s="273"/>
      <c r="B24" s="284"/>
      <c r="C24" s="283"/>
      <c r="D24" s="284"/>
      <c r="E24" s="284"/>
    </row>
    <row r="25" spans="1:5" x14ac:dyDescent="0.25">
      <c r="A25" s="273">
        <v>5</v>
      </c>
      <c r="B25" s="280" t="s">
        <v>206</v>
      </c>
      <c r="C25" s="281"/>
      <c r="D25" s="281"/>
      <c r="E25" s="281"/>
    </row>
    <row r="26" spans="1:5" x14ac:dyDescent="0.25">
      <c r="A26" s="273"/>
      <c r="B26" s="284"/>
      <c r="C26" s="283"/>
      <c r="D26" s="284"/>
      <c r="E26" s="284"/>
    </row>
    <row r="27" spans="1:5" x14ac:dyDescent="0.25">
      <c r="A27" s="273"/>
      <c r="B27" s="284"/>
      <c r="C27" s="283"/>
      <c r="D27" s="284"/>
      <c r="E27" s="284"/>
    </row>
    <row r="28" spans="1:5" x14ac:dyDescent="0.25">
      <c r="A28" s="273"/>
      <c r="B28" s="284"/>
      <c r="C28" s="283"/>
      <c r="D28" s="284"/>
      <c r="E28" s="284"/>
    </row>
    <row r="29" spans="1:5" x14ac:dyDescent="0.25">
      <c r="A29" s="273"/>
      <c r="B29" s="284"/>
      <c r="C29" s="283"/>
      <c r="D29" s="284"/>
      <c r="E29" s="284"/>
    </row>
    <row r="30" spans="1:5" x14ac:dyDescent="0.25">
      <c r="A30" s="273">
        <v>6</v>
      </c>
      <c r="B30" s="280" t="s">
        <v>207</v>
      </c>
      <c r="C30" s="282"/>
      <c r="D30" s="281"/>
      <c r="E30" s="281"/>
    </row>
    <row r="31" spans="1:5" x14ac:dyDescent="0.25">
      <c r="A31" s="273"/>
      <c r="B31" s="284"/>
      <c r="C31" s="283"/>
      <c r="D31" s="284"/>
      <c r="E31" s="284"/>
    </row>
    <row r="32" spans="1:5" x14ac:dyDescent="0.25">
      <c r="A32" s="273"/>
      <c r="B32" s="284"/>
      <c r="C32" s="283"/>
      <c r="D32" s="284"/>
      <c r="E32" s="284"/>
    </row>
    <row r="33" spans="1:5" x14ac:dyDescent="0.25">
      <c r="A33" s="273"/>
      <c r="B33" s="284"/>
      <c r="C33" s="283"/>
      <c r="D33" s="284"/>
      <c r="E33" s="284"/>
    </row>
    <row r="34" spans="1:5" x14ac:dyDescent="0.25">
      <c r="A34" s="273"/>
      <c r="B34" s="284"/>
      <c r="C34" s="283"/>
      <c r="D34" s="284"/>
      <c r="E34" s="284"/>
    </row>
    <row r="35" spans="1:5" x14ac:dyDescent="0.25">
      <c r="A35" s="273">
        <v>7</v>
      </c>
      <c r="B35" s="280" t="s">
        <v>208</v>
      </c>
      <c r="C35" s="282"/>
      <c r="D35" s="281"/>
      <c r="E35" s="281"/>
    </row>
    <row r="36" spans="1:5" x14ac:dyDescent="0.25">
      <c r="A36" s="273"/>
      <c r="B36" s="284"/>
      <c r="C36" s="283"/>
      <c r="D36" s="284"/>
      <c r="E36" s="284"/>
    </row>
    <row r="37" spans="1:5" x14ac:dyDescent="0.25">
      <c r="A37" s="273"/>
      <c r="B37" s="284"/>
      <c r="C37" s="283"/>
      <c r="D37" s="284"/>
      <c r="E37" s="284"/>
    </row>
    <row r="38" spans="1:5" x14ac:dyDescent="0.25">
      <c r="A38" s="273"/>
      <c r="B38" s="284"/>
      <c r="C38" s="283"/>
      <c r="D38" s="284"/>
      <c r="E38" s="284"/>
    </row>
    <row r="39" spans="1:5" x14ac:dyDescent="0.25">
      <c r="A39" s="273"/>
      <c r="B39" s="284"/>
      <c r="C39" s="283"/>
      <c r="D39" s="284"/>
      <c r="E39" s="284"/>
    </row>
    <row r="40" spans="1:5" x14ac:dyDescent="0.25">
      <c r="A40" s="270"/>
      <c r="B40" s="285"/>
      <c r="C40" s="286"/>
      <c r="D40" s="285"/>
      <c r="E40" s="285"/>
    </row>
  </sheetData>
  <mergeCells count="3">
    <mergeCell ref="A2:A3"/>
    <mergeCell ref="B2:B3"/>
    <mergeCell ref="A1:E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H32"/>
  <sheetViews>
    <sheetView tabSelected="1" workbookViewId="0">
      <selection activeCell="A2" sqref="A2:A3"/>
    </sheetView>
  </sheetViews>
  <sheetFormatPr defaultRowHeight="15" x14ac:dyDescent="0.25"/>
  <cols>
    <col min="1" max="1" width="29.7109375" bestFit="1" customWidth="1"/>
    <col min="2" max="2" width="29.140625" customWidth="1"/>
    <col min="3" max="3" width="3.140625" bestFit="1" customWidth="1"/>
    <col min="4" max="4" width="6.85546875" bestFit="1" customWidth="1"/>
    <col min="5" max="5" width="6.28515625" bestFit="1" customWidth="1"/>
    <col min="6" max="6" width="6.85546875" bestFit="1" customWidth="1"/>
    <col min="7" max="7" width="5.5703125" bestFit="1" customWidth="1"/>
    <col min="8" max="8" width="6.85546875" bestFit="1" customWidth="1"/>
  </cols>
  <sheetData>
    <row r="1" spans="1:8" x14ac:dyDescent="0.25">
      <c r="A1" s="833" t="s">
        <v>424</v>
      </c>
      <c r="B1" s="833"/>
      <c r="C1" s="833"/>
      <c r="D1" s="833"/>
      <c r="E1" s="833"/>
      <c r="F1" s="833"/>
      <c r="G1" s="833"/>
      <c r="H1" s="833"/>
    </row>
    <row r="2" spans="1:8" x14ac:dyDescent="0.25">
      <c r="A2" s="834" t="s">
        <v>209</v>
      </c>
      <c r="B2" s="826" t="s">
        <v>210</v>
      </c>
      <c r="C2" s="830" t="s">
        <v>1</v>
      </c>
      <c r="D2" s="290" t="s">
        <v>363</v>
      </c>
      <c r="E2" s="413" t="s">
        <v>362</v>
      </c>
      <c r="F2" s="411"/>
      <c r="G2" s="411"/>
      <c r="H2" s="412"/>
    </row>
    <row r="3" spans="1:8" ht="25.5" x14ac:dyDescent="0.25">
      <c r="A3" s="835"/>
      <c r="B3" s="827"/>
      <c r="C3" s="831"/>
      <c r="D3" s="295" t="s">
        <v>3</v>
      </c>
      <c r="E3" s="414" t="s">
        <v>4</v>
      </c>
      <c r="F3" s="408" t="s">
        <v>5</v>
      </c>
      <c r="G3" s="408" t="s">
        <v>7</v>
      </c>
      <c r="H3" s="409" t="s">
        <v>10</v>
      </c>
    </row>
    <row r="4" spans="1:8" x14ac:dyDescent="0.25">
      <c r="A4" s="287"/>
      <c r="B4" s="287"/>
      <c r="C4" s="180"/>
      <c r="D4" s="291"/>
      <c r="E4" s="196"/>
      <c r="F4" s="179"/>
      <c r="G4" s="288"/>
      <c r="H4" s="292"/>
    </row>
    <row r="5" spans="1:8" x14ac:dyDescent="0.25">
      <c r="A5" s="489" t="s">
        <v>211</v>
      </c>
      <c r="B5" s="490"/>
      <c r="C5" s="491"/>
      <c r="D5" s="492"/>
      <c r="E5" s="493"/>
      <c r="F5" s="494"/>
      <c r="G5" s="494"/>
      <c r="H5" s="495"/>
    </row>
    <row r="6" spans="1:8" x14ac:dyDescent="0.25">
      <c r="A6" s="496"/>
      <c r="B6" s="497"/>
      <c r="C6" s="498"/>
      <c r="D6" s="289"/>
      <c r="E6" s="294"/>
      <c r="F6" s="407"/>
      <c r="G6" s="407"/>
      <c r="H6" s="293"/>
    </row>
    <row r="7" spans="1:8" x14ac:dyDescent="0.25">
      <c r="A7" s="496" t="s">
        <v>212</v>
      </c>
      <c r="B7" s="497" t="s">
        <v>213</v>
      </c>
      <c r="C7" s="498"/>
      <c r="D7" s="289">
        <v>0</v>
      </c>
      <c r="E7" s="294">
        <v>2.7153024343684461E-2</v>
      </c>
      <c r="F7" s="407">
        <v>0</v>
      </c>
      <c r="G7" s="407">
        <v>0</v>
      </c>
      <c r="H7" s="293">
        <v>4.0227817421965864E-2</v>
      </c>
    </row>
    <row r="8" spans="1:8" ht="25.5" x14ac:dyDescent="0.25">
      <c r="A8" s="496" t="s">
        <v>214</v>
      </c>
      <c r="B8" s="497" t="s">
        <v>215</v>
      </c>
      <c r="C8" s="498"/>
      <c r="D8" s="289">
        <v>0</v>
      </c>
      <c r="E8" s="294">
        <v>0</v>
      </c>
      <c r="F8" s="407">
        <v>0</v>
      </c>
      <c r="G8" s="407">
        <v>0</v>
      </c>
      <c r="H8" s="293">
        <v>0</v>
      </c>
    </row>
    <row r="9" spans="1:8" x14ac:dyDescent="0.25">
      <c r="A9" s="499" t="s">
        <v>216</v>
      </c>
      <c r="B9" s="497"/>
      <c r="C9" s="498"/>
      <c r="D9" s="289"/>
      <c r="E9" s="294"/>
      <c r="F9" s="407"/>
      <c r="G9" s="407"/>
      <c r="H9" s="293"/>
    </row>
    <row r="10" spans="1:8" ht="25.5" x14ac:dyDescent="0.25">
      <c r="A10" s="496" t="s">
        <v>217</v>
      </c>
      <c r="B10" s="497" t="s">
        <v>218</v>
      </c>
      <c r="C10" s="498"/>
      <c r="D10" s="289">
        <v>0</v>
      </c>
      <c r="E10" s="294">
        <v>2.716066836488416E-2</v>
      </c>
      <c r="F10" s="407">
        <v>0</v>
      </c>
      <c r="G10" s="407">
        <v>0.16334644976129339</v>
      </c>
      <c r="H10" s="293">
        <v>0</v>
      </c>
    </row>
    <row r="11" spans="1:8" x14ac:dyDescent="0.25">
      <c r="A11" s="496" t="s">
        <v>219</v>
      </c>
      <c r="B11" s="497" t="s">
        <v>220</v>
      </c>
      <c r="C11" s="498"/>
      <c r="D11" s="289">
        <v>0</v>
      </c>
      <c r="E11" s="294">
        <v>0</v>
      </c>
      <c r="F11" s="407">
        <v>0</v>
      </c>
      <c r="G11" s="407">
        <v>0</v>
      </c>
      <c r="H11" s="293">
        <v>0</v>
      </c>
    </row>
    <row r="12" spans="1:8" x14ac:dyDescent="0.25">
      <c r="A12" s="499" t="s">
        <v>221</v>
      </c>
      <c r="B12" s="497"/>
      <c r="C12" s="498"/>
      <c r="D12" s="289"/>
      <c r="E12" s="294"/>
      <c r="F12" s="407"/>
      <c r="G12" s="407"/>
      <c r="H12" s="293"/>
    </row>
    <row r="13" spans="1:8" x14ac:dyDescent="0.25">
      <c r="A13" s="496" t="s">
        <v>222</v>
      </c>
      <c r="B13" s="497" t="s">
        <v>223</v>
      </c>
      <c r="C13" s="410">
        <v>1</v>
      </c>
      <c r="D13" s="289">
        <v>0</v>
      </c>
      <c r="E13" s="294">
        <v>5.1560880040704538</v>
      </c>
      <c r="F13" s="407">
        <v>0</v>
      </c>
      <c r="G13" s="407">
        <v>0.83180442382428599</v>
      </c>
      <c r="H13" s="293">
        <v>0</v>
      </c>
    </row>
    <row r="14" spans="1:8" x14ac:dyDescent="0.25">
      <c r="A14" s="496" t="s">
        <v>224</v>
      </c>
      <c r="B14" s="497" t="s">
        <v>225</v>
      </c>
      <c r="C14" s="498"/>
      <c r="D14" s="289">
        <v>0</v>
      </c>
      <c r="E14" s="294">
        <v>0.6616312680033597</v>
      </c>
      <c r="F14" s="407">
        <v>0</v>
      </c>
      <c r="G14" s="407">
        <v>1.235185369175084E-4</v>
      </c>
      <c r="H14" s="293">
        <v>0</v>
      </c>
    </row>
    <row r="15" spans="1:8" x14ac:dyDescent="0.25">
      <c r="A15" s="499" t="s">
        <v>226</v>
      </c>
      <c r="B15" s="497"/>
      <c r="C15" s="498"/>
      <c r="D15" s="289"/>
      <c r="E15" s="294"/>
      <c r="F15" s="407"/>
      <c r="G15" s="407"/>
      <c r="H15" s="293"/>
    </row>
    <row r="16" spans="1:8" ht="25.5" x14ac:dyDescent="0.25">
      <c r="A16" s="496" t="s">
        <v>227</v>
      </c>
      <c r="B16" s="497" t="s">
        <v>228</v>
      </c>
      <c r="C16" s="498"/>
      <c r="D16" s="289"/>
      <c r="E16" s="294"/>
      <c r="F16" s="407"/>
      <c r="G16" s="407"/>
      <c r="H16" s="293"/>
    </row>
    <row r="17" spans="1:8" x14ac:dyDescent="0.25">
      <c r="A17" s="496" t="s">
        <v>229</v>
      </c>
      <c r="B17" s="497" t="s">
        <v>230</v>
      </c>
      <c r="C17" s="498"/>
      <c r="D17" s="289">
        <v>0</v>
      </c>
      <c r="E17" s="294">
        <v>0.10711336992913656</v>
      </c>
      <c r="F17" s="407">
        <v>0</v>
      </c>
      <c r="G17" s="407">
        <v>2.8210298254104518</v>
      </c>
      <c r="H17" s="293">
        <v>0</v>
      </c>
    </row>
    <row r="18" spans="1:8" ht="25.5" x14ac:dyDescent="0.25">
      <c r="A18" s="496" t="s">
        <v>231</v>
      </c>
      <c r="B18" s="497" t="s">
        <v>232</v>
      </c>
      <c r="C18" s="498"/>
      <c r="D18" s="296">
        <v>0</v>
      </c>
      <c r="E18" s="297">
        <v>0</v>
      </c>
      <c r="F18" s="298">
        <v>0</v>
      </c>
      <c r="G18" s="298">
        <v>0</v>
      </c>
      <c r="H18" s="299">
        <v>0</v>
      </c>
    </row>
    <row r="19" spans="1:8" x14ac:dyDescent="0.25">
      <c r="A19" s="499" t="s">
        <v>233</v>
      </c>
      <c r="B19" s="497"/>
      <c r="C19" s="498"/>
      <c r="D19" s="289"/>
      <c r="E19" s="294"/>
      <c r="F19" s="407"/>
      <c r="G19" s="407"/>
      <c r="H19" s="293"/>
    </row>
    <row r="20" spans="1:8" ht="25.5" x14ac:dyDescent="0.25">
      <c r="A20" s="496" t="s">
        <v>234</v>
      </c>
      <c r="B20" s="497" t="s">
        <v>235</v>
      </c>
      <c r="C20" s="498"/>
      <c r="D20" s="500">
        <v>0</v>
      </c>
      <c r="E20" s="501">
        <v>0</v>
      </c>
      <c r="F20" s="502">
        <v>0</v>
      </c>
      <c r="G20" s="502">
        <v>0</v>
      </c>
      <c r="H20" s="503">
        <v>0</v>
      </c>
    </row>
    <row r="21" spans="1:8" x14ac:dyDescent="0.25">
      <c r="A21" s="499" t="s">
        <v>236</v>
      </c>
      <c r="B21" s="497"/>
      <c r="C21" s="498"/>
      <c r="D21" s="289"/>
      <c r="E21" s="294"/>
      <c r="F21" s="407"/>
      <c r="G21" s="407"/>
      <c r="H21" s="293"/>
    </row>
    <row r="22" spans="1:8" x14ac:dyDescent="0.25">
      <c r="A22" s="496" t="s">
        <v>237</v>
      </c>
      <c r="B22" s="497" t="s">
        <v>238</v>
      </c>
      <c r="C22" s="498"/>
      <c r="D22" s="289"/>
      <c r="E22" s="294"/>
      <c r="F22" s="407"/>
      <c r="G22" s="407"/>
      <c r="H22" s="293"/>
    </row>
    <row r="23" spans="1:8" x14ac:dyDescent="0.25">
      <c r="A23" s="499" t="s">
        <v>239</v>
      </c>
      <c r="B23" s="497"/>
      <c r="C23" s="498"/>
      <c r="D23" s="289"/>
      <c r="E23" s="294"/>
      <c r="F23" s="407"/>
      <c r="G23" s="407"/>
      <c r="H23" s="293"/>
    </row>
    <row r="24" spans="1:8" ht="25.5" x14ac:dyDescent="0.25">
      <c r="A24" s="496" t="s">
        <v>240</v>
      </c>
      <c r="B24" s="300" t="s">
        <v>241</v>
      </c>
      <c r="C24" s="504">
        <v>2</v>
      </c>
      <c r="D24" s="500">
        <v>0</v>
      </c>
      <c r="E24" s="501">
        <v>0</v>
      </c>
      <c r="F24" s="502">
        <v>0</v>
      </c>
      <c r="G24" s="502">
        <v>0</v>
      </c>
      <c r="H24" s="503">
        <v>0</v>
      </c>
    </row>
    <row r="25" spans="1:8" ht="38.25" x14ac:dyDescent="0.25">
      <c r="A25" s="496" t="s">
        <v>242</v>
      </c>
      <c r="B25" s="300" t="s">
        <v>243</v>
      </c>
      <c r="C25" s="504">
        <v>2</v>
      </c>
      <c r="D25" s="500">
        <v>0</v>
      </c>
      <c r="E25" s="501">
        <v>0</v>
      </c>
      <c r="F25" s="502">
        <v>0</v>
      </c>
      <c r="G25" s="502">
        <v>0</v>
      </c>
      <c r="H25" s="503">
        <v>0</v>
      </c>
    </row>
    <row r="26" spans="1:8" ht="25.5" x14ac:dyDescent="0.25">
      <c r="A26" s="496" t="s">
        <v>61</v>
      </c>
      <c r="B26" s="497" t="s">
        <v>244</v>
      </c>
      <c r="C26" s="498"/>
      <c r="D26" s="289">
        <v>0</v>
      </c>
      <c r="E26" s="294">
        <v>0.39883565052586734</v>
      </c>
      <c r="F26" s="407">
        <v>0</v>
      </c>
      <c r="G26" s="407">
        <v>0.23100817403179105</v>
      </c>
      <c r="H26" s="293">
        <v>1.112374847091582</v>
      </c>
    </row>
    <row r="27" spans="1:8" x14ac:dyDescent="0.25">
      <c r="A27" s="496" t="s">
        <v>245</v>
      </c>
      <c r="B27" s="497" t="s">
        <v>246</v>
      </c>
      <c r="C27" s="498"/>
      <c r="D27" s="289">
        <v>0</v>
      </c>
      <c r="E27" s="294">
        <v>0</v>
      </c>
      <c r="F27" s="407">
        <v>0</v>
      </c>
      <c r="G27" s="407">
        <v>0</v>
      </c>
      <c r="H27" s="293">
        <v>0</v>
      </c>
    </row>
    <row r="28" spans="1:8" x14ac:dyDescent="0.25">
      <c r="A28" s="496" t="s">
        <v>247</v>
      </c>
      <c r="B28" s="497" t="s">
        <v>248</v>
      </c>
      <c r="C28" s="498"/>
      <c r="D28" s="289">
        <v>0</v>
      </c>
      <c r="E28" s="294">
        <v>2.715227151901849E-2</v>
      </c>
      <c r="F28" s="407">
        <v>0</v>
      </c>
      <c r="G28" s="407">
        <v>0</v>
      </c>
      <c r="H28" s="293">
        <v>0.10086859759278366</v>
      </c>
    </row>
    <row r="29" spans="1:8" x14ac:dyDescent="0.25">
      <c r="A29" s="505" t="s">
        <v>249</v>
      </c>
      <c r="B29" s="506"/>
      <c r="C29" s="507"/>
      <c r="D29" s="289"/>
      <c r="E29" s="294"/>
      <c r="F29" s="407"/>
      <c r="G29" s="407"/>
      <c r="H29" s="293"/>
    </row>
    <row r="30" spans="1:8" ht="38.25" x14ac:dyDescent="0.25">
      <c r="A30" s="496" t="s">
        <v>250</v>
      </c>
      <c r="B30" s="497" t="s">
        <v>251</v>
      </c>
      <c r="C30" s="498"/>
      <c r="D30" s="500"/>
      <c r="E30" s="501"/>
      <c r="F30" s="502"/>
      <c r="G30" s="502"/>
      <c r="H30" s="503"/>
    </row>
    <row r="31" spans="1:8" ht="25.5" x14ac:dyDescent="0.25">
      <c r="A31" s="496" t="s">
        <v>252</v>
      </c>
      <c r="B31" s="497" t="s">
        <v>253</v>
      </c>
      <c r="C31" s="498"/>
      <c r="D31" s="500"/>
      <c r="E31" s="501"/>
      <c r="F31" s="502"/>
      <c r="G31" s="502"/>
      <c r="H31" s="503"/>
    </row>
    <row r="32" spans="1:8" ht="25.5" x14ac:dyDescent="0.25">
      <c r="A32" s="508" t="s">
        <v>254</v>
      </c>
      <c r="B32" s="509" t="s">
        <v>255</v>
      </c>
      <c r="C32" s="510"/>
      <c r="D32" s="511"/>
      <c r="E32" s="512"/>
      <c r="F32" s="513"/>
      <c r="G32" s="513"/>
      <c r="H32" s="514"/>
    </row>
  </sheetData>
  <mergeCells count="4">
    <mergeCell ref="A2:A3"/>
    <mergeCell ref="B2:B3"/>
    <mergeCell ref="C2:C3"/>
    <mergeCell ref="A1:H1"/>
  </mergeCells>
  <pageMargins left="0.7" right="0.7" top="0.75" bottom="0.75" header="0.3" footer="0.3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P33"/>
  <sheetViews>
    <sheetView topLeftCell="B6" zoomScaleNormal="100" workbookViewId="0">
      <selection activeCell="K24" sqref="K24"/>
    </sheetView>
  </sheetViews>
  <sheetFormatPr defaultRowHeight="15" x14ac:dyDescent="0.25"/>
  <cols>
    <col min="1" max="1" width="45.28515625" bestFit="1" customWidth="1"/>
    <col min="3" max="3" width="8" customWidth="1"/>
    <col min="4" max="4" width="7.85546875" bestFit="1" customWidth="1"/>
    <col min="5" max="5" width="9.140625" customWidth="1"/>
    <col min="6" max="8" width="8.5703125" bestFit="1" customWidth="1"/>
    <col min="9" max="9" width="9" bestFit="1" customWidth="1"/>
    <col min="10" max="10" width="9.140625" bestFit="1" customWidth="1"/>
    <col min="11" max="11" width="12.85546875" bestFit="1" customWidth="1"/>
    <col min="12" max="12" width="6.5703125" bestFit="1" customWidth="1"/>
    <col min="13" max="13" width="9.28515625" customWidth="1"/>
    <col min="14" max="14" width="13.28515625" bestFit="1" customWidth="1"/>
    <col min="16" max="16" width="13.28515625" bestFit="1" customWidth="1"/>
  </cols>
  <sheetData>
    <row r="1" spans="1:14" x14ac:dyDescent="0.25">
      <c r="A1" s="836" t="s">
        <v>412</v>
      </c>
      <c r="B1" s="836"/>
      <c r="C1" s="837"/>
      <c r="D1" s="837"/>
      <c r="E1" s="837"/>
      <c r="F1" s="837"/>
      <c r="G1" s="837"/>
      <c r="H1" s="837"/>
      <c r="I1" s="837"/>
      <c r="J1" s="837"/>
      <c r="K1" s="837"/>
      <c r="L1" s="837"/>
      <c r="M1" s="837"/>
      <c r="N1" s="689"/>
    </row>
    <row r="2" spans="1:14" ht="15" customHeight="1" x14ac:dyDescent="0.25">
      <c r="A2" s="482" t="str">
        <f>desc</f>
        <v>Description</v>
      </c>
      <c r="B2" s="690"/>
      <c r="C2" s="838" t="s">
        <v>362</v>
      </c>
      <c r="D2" s="839"/>
      <c r="E2" s="839"/>
      <c r="F2" s="839"/>
      <c r="G2" s="839"/>
      <c r="H2" s="839"/>
      <c r="I2" s="839"/>
      <c r="J2" s="839"/>
      <c r="K2" s="839"/>
      <c r="L2" s="839"/>
      <c r="M2" s="839"/>
      <c r="N2" s="840"/>
    </row>
    <row r="3" spans="1:14" ht="25.5" customHeight="1" x14ac:dyDescent="0.25">
      <c r="A3" s="691" t="s">
        <v>11</v>
      </c>
      <c r="B3" s="688" t="s">
        <v>304</v>
      </c>
      <c r="C3" s="692" t="s">
        <v>84</v>
      </c>
      <c r="D3" s="693" t="s">
        <v>85</v>
      </c>
      <c r="E3" s="693" t="s">
        <v>86</v>
      </c>
      <c r="F3" s="693" t="s">
        <v>87</v>
      </c>
      <c r="G3" s="693" t="s">
        <v>88</v>
      </c>
      <c r="H3" s="693" t="s">
        <v>89</v>
      </c>
      <c r="I3" s="693" t="s">
        <v>90</v>
      </c>
      <c r="J3" s="694" t="s">
        <v>91</v>
      </c>
      <c r="K3" s="695" t="s">
        <v>92</v>
      </c>
      <c r="L3" s="695" t="s">
        <v>366</v>
      </c>
      <c r="M3" s="695" t="s">
        <v>367</v>
      </c>
      <c r="N3" s="695" t="s">
        <v>368</v>
      </c>
    </row>
    <row r="4" spans="1:14" x14ac:dyDescent="0.25">
      <c r="A4" s="696" t="s">
        <v>369</v>
      </c>
      <c r="B4" s="697"/>
      <c r="C4" s="698">
        <v>0</v>
      </c>
      <c r="D4" s="699">
        <v>0</v>
      </c>
      <c r="E4" s="699">
        <v>0</v>
      </c>
      <c r="F4" s="699">
        <v>0</v>
      </c>
      <c r="G4" s="699">
        <v>0</v>
      </c>
      <c r="H4" s="699">
        <v>0</v>
      </c>
      <c r="I4" s="699">
        <v>0</v>
      </c>
      <c r="J4" s="700">
        <v>0</v>
      </c>
      <c r="K4" s="701"/>
      <c r="L4" s="701"/>
      <c r="M4" s="702"/>
      <c r="N4" s="702"/>
    </row>
    <row r="5" spans="1:14" x14ac:dyDescent="0.25">
      <c r="A5" s="703" t="s">
        <v>370</v>
      </c>
      <c r="B5" s="697">
        <v>1200</v>
      </c>
      <c r="C5" s="474">
        <v>-141604.06</v>
      </c>
      <c r="D5" s="475">
        <v>0</v>
      </c>
      <c r="E5" s="475">
        <v>0</v>
      </c>
      <c r="F5" s="475">
        <v>0</v>
      </c>
      <c r="G5" s="475">
        <v>0</v>
      </c>
      <c r="H5" s="475">
        <v>0</v>
      </c>
      <c r="I5" s="475">
        <v>-8135.37</v>
      </c>
      <c r="J5" s="715">
        <v>33644384.359999999</v>
      </c>
      <c r="K5" s="483">
        <f>SUM(C5:J5)</f>
        <v>33494644.93</v>
      </c>
      <c r="L5" s="483">
        <f>SUM(F5:J5)</f>
        <v>33636248.990000002</v>
      </c>
      <c r="M5" s="488">
        <v>0</v>
      </c>
      <c r="N5" s="488">
        <v>0</v>
      </c>
    </row>
    <row r="6" spans="1:14" x14ac:dyDescent="0.25">
      <c r="A6" s="703" t="s">
        <v>371</v>
      </c>
      <c r="B6" s="697">
        <v>1300</v>
      </c>
      <c r="C6" s="474">
        <v>-207889.77</v>
      </c>
      <c r="D6" s="475">
        <v>0</v>
      </c>
      <c r="E6" s="475">
        <v>0</v>
      </c>
      <c r="F6" s="475">
        <v>0</v>
      </c>
      <c r="G6" s="475">
        <v>0</v>
      </c>
      <c r="H6" s="475">
        <v>0</v>
      </c>
      <c r="I6" s="475">
        <v>0</v>
      </c>
      <c r="J6" s="715">
        <v>3615308.95</v>
      </c>
      <c r="K6" s="483">
        <f>SUM(C6:J6)</f>
        <v>3407419.18</v>
      </c>
      <c r="L6" s="483">
        <f t="shared" ref="L6:L12" si="0">SUM(F6:J6)</f>
        <v>3615308.95</v>
      </c>
      <c r="M6" s="488">
        <v>0</v>
      </c>
      <c r="N6" s="488">
        <v>0</v>
      </c>
    </row>
    <row r="7" spans="1:14" x14ac:dyDescent="0.25">
      <c r="A7" s="703" t="s">
        <v>372</v>
      </c>
      <c r="B7" s="697">
        <v>1400</v>
      </c>
      <c r="C7" s="474">
        <v>-678511</v>
      </c>
      <c r="D7" s="475">
        <v>0</v>
      </c>
      <c r="E7" s="475">
        <v>0</v>
      </c>
      <c r="F7" s="475">
        <v>0</v>
      </c>
      <c r="G7" s="475">
        <v>0</v>
      </c>
      <c r="H7" s="475">
        <v>0</v>
      </c>
      <c r="I7" s="475">
        <v>-2908.16</v>
      </c>
      <c r="J7" s="715">
        <v>17707678.390000001</v>
      </c>
      <c r="K7" s="483">
        <f t="shared" ref="K7:K13" si="1">SUM(C7:J7)</f>
        <v>17026259.23</v>
      </c>
      <c r="L7" s="483">
        <f t="shared" si="0"/>
        <v>17704770.23</v>
      </c>
      <c r="M7" s="488">
        <v>0</v>
      </c>
      <c r="N7" s="488">
        <v>0</v>
      </c>
    </row>
    <row r="8" spans="1:14" x14ac:dyDescent="0.25">
      <c r="A8" s="703" t="s">
        <v>373</v>
      </c>
      <c r="B8" s="697">
        <v>1500</v>
      </c>
      <c r="C8" s="474">
        <v>46334.99</v>
      </c>
      <c r="D8" s="475">
        <v>0</v>
      </c>
      <c r="E8" s="475">
        <v>0</v>
      </c>
      <c r="F8" s="475">
        <v>0</v>
      </c>
      <c r="G8" s="475">
        <v>0</v>
      </c>
      <c r="H8" s="475">
        <v>0</v>
      </c>
      <c r="I8" s="475">
        <v>5790.45</v>
      </c>
      <c r="J8" s="715">
        <v>36915237.880000003</v>
      </c>
      <c r="K8" s="483">
        <f t="shared" si="1"/>
        <v>36967363.32</v>
      </c>
      <c r="L8" s="483">
        <f t="shared" si="0"/>
        <v>36921028.330000006</v>
      </c>
      <c r="M8" s="488">
        <v>0</v>
      </c>
      <c r="N8" s="488">
        <v>0</v>
      </c>
    </row>
    <row r="9" spans="1:14" x14ac:dyDescent="0.25">
      <c r="A9" s="703" t="s">
        <v>374</v>
      </c>
      <c r="B9" s="697">
        <v>1600</v>
      </c>
      <c r="C9" s="474">
        <v>-9832.6</v>
      </c>
      <c r="D9" s="475">
        <v>0</v>
      </c>
      <c r="E9" s="475">
        <v>0</v>
      </c>
      <c r="F9" s="475">
        <v>0</v>
      </c>
      <c r="G9" s="475">
        <v>0</v>
      </c>
      <c r="H9" s="475">
        <v>0</v>
      </c>
      <c r="I9" s="475">
        <v>-1874.94</v>
      </c>
      <c r="J9" s="715">
        <v>37499034</v>
      </c>
      <c r="K9" s="483">
        <f t="shared" si="1"/>
        <v>37487326.460000001</v>
      </c>
      <c r="L9" s="483">
        <f>SUM(F9:J9)</f>
        <v>37497159.060000002</v>
      </c>
      <c r="M9" s="488">
        <v>0</v>
      </c>
      <c r="N9" s="488">
        <v>0</v>
      </c>
    </row>
    <row r="10" spans="1:14" x14ac:dyDescent="0.25">
      <c r="A10" s="703" t="s">
        <v>375</v>
      </c>
      <c r="B10" s="697">
        <v>1700</v>
      </c>
      <c r="C10" s="474">
        <v>-4189.96</v>
      </c>
      <c r="D10" s="475">
        <v>0</v>
      </c>
      <c r="E10" s="475">
        <v>0</v>
      </c>
      <c r="F10" s="475">
        <v>0</v>
      </c>
      <c r="G10" s="475">
        <v>0</v>
      </c>
      <c r="H10" s="475">
        <v>0</v>
      </c>
      <c r="I10" s="475">
        <v>0</v>
      </c>
      <c r="J10" s="715">
        <v>2371927.54</v>
      </c>
      <c r="K10" s="483">
        <f t="shared" si="1"/>
        <v>2367737.58</v>
      </c>
      <c r="L10" s="483">
        <f>SUM(F10:J10)</f>
        <v>2371927.54</v>
      </c>
      <c r="M10" s="488">
        <v>0</v>
      </c>
      <c r="N10" s="488">
        <v>0</v>
      </c>
    </row>
    <row r="11" spans="1:14" x14ac:dyDescent="0.25">
      <c r="A11" s="703" t="s">
        <v>376</v>
      </c>
      <c r="B11" s="697">
        <v>1810</v>
      </c>
      <c r="C11" s="474">
        <v>-60360.67</v>
      </c>
      <c r="D11" s="475">
        <v>0</v>
      </c>
      <c r="E11" s="475">
        <v>0</v>
      </c>
      <c r="F11" s="475">
        <v>0</v>
      </c>
      <c r="G11" s="475">
        <v>8793003.0999999996</v>
      </c>
      <c r="H11" s="475">
        <v>0</v>
      </c>
      <c r="I11" s="475">
        <v>1133.51</v>
      </c>
      <c r="J11" s="715">
        <v>21615680.379999999</v>
      </c>
      <c r="K11" s="483">
        <f t="shared" si="1"/>
        <v>30349456.32</v>
      </c>
      <c r="L11" s="483">
        <f t="shared" si="0"/>
        <v>30409816.989999998</v>
      </c>
      <c r="M11" s="488">
        <v>0</v>
      </c>
      <c r="N11" s="488">
        <v>0</v>
      </c>
    </row>
    <row r="12" spans="1:14" x14ac:dyDescent="0.25">
      <c r="A12" s="703" t="s">
        <v>377</v>
      </c>
      <c r="B12" s="697">
        <v>1820</v>
      </c>
      <c r="C12" s="474">
        <v>0</v>
      </c>
      <c r="D12" s="475">
        <v>0</v>
      </c>
      <c r="E12" s="475">
        <v>0</v>
      </c>
      <c r="F12" s="475">
        <v>0</v>
      </c>
      <c r="G12" s="475">
        <v>0</v>
      </c>
      <c r="H12" s="475">
        <v>0</v>
      </c>
      <c r="I12" s="475">
        <v>0</v>
      </c>
      <c r="J12" s="715">
        <v>0</v>
      </c>
      <c r="K12" s="483">
        <f t="shared" si="1"/>
        <v>0</v>
      </c>
      <c r="L12" s="483">
        <f t="shared" si="0"/>
        <v>0</v>
      </c>
      <c r="M12" s="488">
        <v>0</v>
      </c>
      <c r="N12" s="488">
        <v>0</v>
      </c>
    </row>
    <row r="13" spans="1:14" x14ac:dyDescent="0.25">
      <c r="A13" s="703" t="s">
        <v>116</v>
      </c>
      <c r="B13" s="697">
        <v>1900</v>
      </c>
      <c r="C13" s="474">
        <v>-99031.360000000001</v>
      </c>
      <c r="D13" s="475">
        <v>0</v>
      </c>
      <c r="E13" s="475">
        <v>0</v>
      </c>
      <c r="F13" s="475">
        <v>0</v>
      </c>
      <c r="G13" s="475">
        <v>0</v>
      </c>
      <c r="H13" s="475">
        <v>0</v>
      </c>
      <c r="I13" s="475">
        <v>0</v>
      </c>
      <c r="J13" s="715">
        <v>566112.61</v>
      </c>
      <c r="K13" s="483">
        <f t="shared" si="1"/>
        <v>467081.25</v>
      </c>
      <c r="L13" s="483">
        <f>SUM(F13:J13)</f>
        <v>566112.61</v>
      </c>
      <c r="M13" s="488">
        <v>0</v>
      </c>
      <c r="N13" s="488">
        <v>0</v>
      </c>
    </row>
    <row r="14" spans="1:14" x14ac:dyDescent="0.25">
      <c r="A14" s="704" t="s">
        <v>378</v>
      </c>
      <c r="B14" s="705">
        <v>2000</v>
      </c>
      <c r="C14" s="716">
        <f t="shared" ref="C14:N14" si="2">SUM(C5:C13)</f>
        <v>-1155084.43</v>
      </c>
      <c r="D14" s="717">
        <f t="shared" si="2"/>
        <v>0</v>
      </c>
      <c r="E14" s="717">
        <f t="shared" si="2"/>
        <v>0</v>
      </c>
      <c r="F14" s="717">
        <f t="shared" si="2"/>
        <v>0</v>
      </c>
      <c r="G14" s="717">
        <f t="shared" si="2"/>
        <v>8793003.0999999996</v>
      </c>
      <c r="H14" s="717"/>
      <c r="I14" s="717">
        <f t="shared" si="2"/>
        <v>-5994.5099999999984</v>
      </c>
      <c r="J14" s="718">
        <f t="shared" si="2"/>
        <v>153935364.11000004</v>
      </c>
      <c r="K14" s="719">
        <f t="shared" si="2"/>
        <v>161567288.27000001</v>
      </c>
      <c r="L14" s="719">
        <f>SUM(L5:L13)</f>
        <v>162722372.70000002</v>
      </c>
      <c r="M14" s="713">
        <f t="shared" si="2"/>
        <v>0</v>
      </c>
      <c r="N14" s="713">
        <f t="shared" si="2"/>
        <v>0</v>
      </c>
    </row>
    <row r="15" spans="1:14" x14ac:dyDescent="0.25">
      <c r="A15" s="711" t="s">
        <v>385</v>
      </c>
      <c r="B15" s="712"/>
      <c r="C15" s="727">
        <v>5525000</v>
      </c>
      <c r="D15" s="727">
        <v>2463000</v>
      </c>
      <c r="E15" s="727">
        <v>1932000</v>
      </c>
      <c r="F15" s="727">
        <v>2312000</v>
      </c>
      <c r="G15" s="727">
        <v>10072000</v>
      </c>
      <c r="H15" s="727">
        <v>2158000</v>
      </c>
      <c r="I15" s="727">
        <v>38041000</v>
      </c>
      <c r="J15" s="727">
        <v>98039000</v>
      </c>
      <c r="K15" s="720">
        <f>SUM(C15:J15)</f>
        <v>160542000</v>
      </c>
      <c r="L15" s="721">
        <f>SUM(F15:J15)</f>
        <v>150622000</v>
      </c>
      <c r="M15" s="722"/>
      <c r="N15" s="723"/>
    </row>
    <row r="16" spans="1:14" x14ac:dyDescent="0.25">
      <c r="A16" s="696" t="s">
        <v>379</v>
      </c>
      <c r="B16" s="697"/>
      <c r="C16" s="484"/>
      <c r="D16" s="485"/>
      <c r="E16" s="485"/>
      <c r="F16" s="485"/>
      <c r="G16" s="485"/>
      <c r="H16" s="485"/>
      <c r="I16" s="485"/>
      <c r="J16" s="486"/>
      <c r="K16" s="483"/>
      <c r="L16" s="487"/>
      <c r="M16" s="487"/>
      <c r="N16" s="483"/>
    </row>
    <row r="17" spans="1:16" x14ac:dyDescent="0.25">
      <c r="A17" s="703" t="s">
        <v>380</v>
      </c>
      <c r="B17" s="697">
        <v>2200</v>
      </c>
      <c r="C17" s="474">
        <v>71047.62</v>
      </c>
      <c r="D17" s="475">
        <v>185204.01</v>
      </c>
      <c r="E17" s="475">
        <v>132415.21</v>
      </c>
      <c r="F17" s="475">
        <v>42210.002799815033</v>
      </c>
      <c r="G17" s="475">
        <v>174136.62898809634</v>
      </c>
      <c r="H17" s="475">
        <v>34509.272471482815</v>
      </c>
      <c r="I17" s="475">
        <v>832226.98313723574</v>
      </c>
      <c r="J17" s="715">
        <v>1313583.53260337</v>
      </c>
      <c r="K17" s="483">
        <f>SUM(C17:J17)</f>
        <v>2785333.26</v>
      </c>
      <c r="L17" s="487">
        <f>SUM(F17:J17)</f>
        <v>2396666.42</v>
      </c>
      <c r="M17" s="488">
        <v>0</v>
      </c>
      <c r="N17" s="724">
        <v>0</v>
      </c>
    </row>
    <row r="18" spans="1:16" x14ac:dyDescent="0.25">
      <c r="A18" s="703" t="s">
        <v>381</v>
      </c>
      <c r="B18" s="697">
        <v>2300</v>
      </c>
      <c r="C18" s="474">
        <v>-48217.829999999994</v>
      </c>
      <c r="D18" s="475">
        <v>0</v>
      </c>
      <c r="E18" s="475">
        <v>0</v>
      </c>
      <c r="F18" s="475">
        <v>0</v>
      </c>
      <c r="G18" s="475">
        <v>310066.17</v>
      </c>
      <c r="H18" s="475">
        <v>0</v>
      </c>
      <c r="I18" s="475">
        <v>-220.63</v>
      </c>
      <c r="J18" s="715">
        <v>5682883.9800000004</v>
      </c>
      <c r="K18" s="483">
        <f>SUM(C18:J18)</f>
        <v>5944511.6900000004</v>
      </c>
      <c r="L18" s="487">
        <f>SUM(F18:J18)</f>
        <v>5992729.5200000005</v>
      </c>
      <c r="M18" s="488">
        <v>0</v>
      </c>
      <c r="N18" s="724">
        <v>0</v>
      </c>
    </row>
    <row r="19" spans="1:16" x14ac:dyDescent="0.25">
      <c r="A19" s="703" t="s">
        <v>351</v>
      </c>
      <c r="B19" s="697">
        <v>2400</v>
      </c>
      <c r="C19" s="474">
        <v>-814345.42000000016</v>
      </c>
      <c r="D19" s="475">
        <v>0</v>
      </c>
      <c r="E19" s="475">
        <v>0</v>
      </c>
      <c r="F19" s="475">
        <v>0</v>
      </c>
      <c r="G19" s="475">
        <v>8272714.5800000001</v>
      </c>
      <c r="H19" s="475">
        <v>0</v>
      </c>
      <c r="I19" s="475">
        <v>-5773.11</v>
      </c>
      <c r="J19" s="715">
        <v>143748031.72</v>
      </c>
      <c r="K19" s="483">
        <f>SUM(C19:J19)</f>
        <v>151200627.77000001</v>
      </c>
      <c r="L19" s="487">
        <f>SUM(F19:J19)</f>
        <v>152014973.19</v>
      </c>
      <c r="M19" s="488">
        <v>0</v>
      </c>
      <c r="N19" s="724">
        <v>0</v>
      </c>
      <c r="P19" s="566"/>
    </row>
    <row r="20" spans="1:16" x14ac:dyDescent="0.25">
      <c r="A20" s="703" t="s">
        <v>116</v>
      </c>
      <c r="B20" s="697">
        <v>2500</v>
      </c>
      <c r="C20" s="474">
        <v>-363568.79999999981</v>
      </c>
      <c r="D20" s="475">
        <v>-185204.01</v>
      </c>
      <c r="E20" s="475">
        <v>-132415.21</v>
      </c>
      <c r="F20" s="475">
        <v>-42210.002799815033</v>
      </c>
      <c r="G20" s="475">
        <v>36085.721011903137</v>
      </c>
      <c r="H20" s="475">
        <v>-34509.272471482815</v>
      </c>
      <c r="I20" s="475">
        <v>-832227.75313723576</v>
      </c>
      <c r="J20" s="715">
        <v>3190864.877396673</v>
      </c>
      <c r="K20" s="483">
        <f>SUM(C20:J20)</f>
        <v>1636815.5500000427</v>
      </c>
      <c r="L20" s="487">
        <f>SUM(F20:J20)</f>
        <v>2318003.5700000422</v>
      </c>
      <c r="M20" s="488">
        <v>0</v>
      </c>
      <c r="N20" s="725">
        <v>0</v>
      </c>
    </row>
    <row r="21" spans="1:16" x14ac:dyDescent="0.25">
      <c r="A21" s="704" t="s">
        <v>382</v>
      </c>
      <c r="B21" s="705">
        <v>2600</v>
      </c>
      <c r="C21" s="706">
        <f t="shared" ref="C21:I21" si="3">SUM(C17:C20)</f>
        <v>-1155084.43</v>
      </c>
      <c r="D21" s="707">
        <f t="shared" si="3"/>
        <v>0</v>
      </c>
      <c r="E21" s="707">
        <f t="shared" si="3"/>
        <v>0</v>
      </c>
      <c r="F21" s="707">
        <f t="shared" si="3"/>
        <v>0</v>
      </c>
      <c r="G21" s="707">
        <f t="shared" si="3"/>
        <v>8793003.0999999996</v>
      </c>
      <c r="H21" s="707">
        <f t="shared" si="3"/>
        <v>0</v>
      </c>
      <c r="I21" s="707">
        <f t="shared" si="3"/>
        <v>-5994.5100000000093</v>
      </c>
      <c r="J21" s="708">
        <f>SUM(J17:J20)</f>
        <v>153935364.11000004</v>
      </c>
      <c r="K21" s="709">
        <f>SUM(K17:K20)</f>
        <v>161567288.27000004</v>
      </c>
      <c r="L21" s="713">
        <f>SUM(L17:L20)</f>
        <v>162722372.70000005</v>
      </c>
      <c r="M21" s="710">
        <f>SUM(M17:M20)</f>
        <v>0</v>
      </c>
      <c r="N21" s="714">
        <f>SUM(N17:N20)</f>
        <v>0</v>
      </c>
    </row>
    <row r="22" spans="1:16" ht="15.75" thickBot="1" x14ac:dyDescent="0.3"/>
    <row r="23" spans="1:16" x14ac:dyDescent="0.25">
      <c r="A23" s="549" t="s">
        <v>413</v>
      </c>
      <c r="B23" s="550"/>
      <c r="C23" s="550"/>
      <c r="D23" s="550"/>
      <c r="E23" s="550"/>
      <c r="F23" s="550"/>
      <c r="G23" s="550"/>
      <c r="H23" s="550"/>
      <c r="I23" s="550"/>
      <c r="J23" s="550"/>
      <c r="K23" s="555">
        <f>K14</f>
        <v>161567288.27000001</v>
      </c>
    </row>
    <row r="24" spans="1:16" x14ac:dyDescent="0.25">
      <c r="A24" s="551" t="s">
        <v>355</v>
      </c>
      <c r="B24" s="552"/>
      <c r="C24" s="552"/>
      <c r="D24" s="552"/>
      <c r="E24" s="552"/>
      <c r="F24" s="552"/>
      <c r="G24" s="552"/>
      <c r="H24" s="552"/>
      <c r="I24" s="552"/>
      <c r="J24" s="552"/>
      <c r="K24" s="556">
        <f>+K23-K25</f>
        <v>1025288.2700000107</v>
      </c>
    </row>
    <row r="25" spans="1:16" ht="15.75" thickBot="1" x14ac:dyDescent="0.3">
      <c r="A25" s="553" t="s">
        <v>414</v>
      </c>
      <c r="B25" s="554"/>
      <c r="C25" s="554"/>
      <c r="D25" s="554"/>
      <c r="E25" s="554"/>
      <c r="F25" s="554"/>
      <c r="G25" s="554"/>
      <c r="H25" s="554"/>
      <c r="I25" s="554"/>
      <c r="J25" s="554"/>
      <c r="K25" s="557">
        <f>K15</f>
        <v>160542000</v>
      </c>
      <c r="N25" s="561"/>
    </row>
    <row r="26" spans="1:16" x14ac:dyDescent="0.25">
      <c r="N26" s="568"/>
    </row>
    <row r="27" spans="1:16" x14ac:dyDescent="0.25">
      <c r="N27" s="569"/>
    </row>
    <row r="31" spans="1:16" x14ac:dyDescent="0.25">
      <c r="K31">
        <v>191485508.48000002</v>
      </c>
    </row>
    <row r="32" spans="1:16" x14ac:dyDescent="0.25">
      <c r="K32">
        <v>194510224.94</v>
      </c>
    </row>
    <row r="33" spans="11:11" x14ac:dyDescent="0.25">
      <c r="K33" s="566">
        <f>K32-K31</f>
        <v>3024716.4599999785</v>
      </c>
    </row>
  </sheetData>
  <mergeCells count="2">
    <mergeCell ref="A1:M1"/>
    <mergeCell ref="C2:N2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C1 Sum</vt:lpstr>
      <vt:lpstr>C4 Fin Perf</vt:lpstr>
      <vt:lpstr>Graphics</vt:lpstr>
      <vt:lpstr>C5 - CAPEX</vt:lpstr>
      <vt:lpstr>C6 - FIN POS</vt:lpstr>
      <vt:lpstr>C7 - CASHFLOW</vt:lpstr>
      <vt:lpstr>Variance Analysis</vt:lpstr>
      <vt:lpstr>Indicators</vt:lpstr>
      <vt:lpstr>Debtors</vt:lpstr>
      <vt:lpstr>Creditors</vt:lpstr>
      <vt:lpstr>Investments</vt:lpstr>
      <vt:lpstr>Grants Received</vt:lpstr>
      <vt:lpstr>Grants Expenditure - dnt print</vt:lpstr>
      <vt:lpstr>Capex Trend</vt:lpstr>
      <vt:lpstr>'C1 Sum'!Print_Area</vt:lpstr>
      <vt:lpstr>'C4 Fin Perf'!Print_Area</vt:lpstr>
      <vt:lpstr>'C5 - CAPEX'!Print_Area</vt:lpstr>
      <vt:lpstr>'C6 - FIN POS'!Print_Area</vt:lpstr>
      <vt:lpstr>'C7 - CASHFLOW'!Print_Area</vt:lpstr>
      <vt:lpstr>'Capex Trend'!Print_Area</vt:lpstr>
      <vt:lpstr>Creditors!Print_Area</vt:lpstr>
      <vt:lpstr>Debtors!Print_Area</vt:lpstr>
      <vt:lpstr>'Grants Expenditure - dnt print'!Print_Area</vt:lpstr>
      <vt:lpstr>'Grants Received'!Print_Area</vt:lpstr>
      <vt:lpstr>Graphics!Print_Area</vt:lpstr>
      <vt:lpstr>Indicators!Print_Area</vt:lpstr>
      <vt:lpstr>Investments!Print_Area</vt:lpstr>
      <vt:lpstr>'Variance Analysis'!Print_Area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PLM</dc:creator>
  <cp:lastModifiedBy>calvin.mosia</cp:lastModifiedBy>
  <cp:lastPrinted>2017-08-15T06:14:13Z</cp:lastPrinted>
  <dcterms:created xsi:type="dcterms:W3CDTF">2013-09-10T18:19:32Z</dcterms:created>
  <dcterms:modified xsi:type="dcterms:W3CDTF">2017-08-16T08:49:49Z</dcterms:modified>
</cp:coreProperties>
</file>