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0" windowWidth="15360" windowHeight="7155" tabRatio="919" activeTab="1"/>
  </bookViews>
  <sheets>
    <sheet name="C1 Sum" sheetId="2" r:id="rId1"/>
    <sheet name="C4 Fin Perf" sheetId="1" r:id="rId2"/>
    <sheet name="Graphics" sheetId="17" r:id="rId3"/>
    <sheet name="C5 - CAPEX" sheetId="7" r:id="rId4"/>
    <sheet name="C6 - FIN POS" sheetId="6" r:id="rId5"/>
    <sheet name="C7 - CASHFLOW" sheetId="3" r:id="rId6"/>
    <sheet name="Variance Analysis" sheetId="8" r:id="rId7"/>
    <sheet name="Indicators" sheetId="9" r:id="rId8"/>
    <sheet name="Debtors" sheetId="10" r:id="rId9"/>
    <sheet name="Creditors" sheetId="11" r:id="rId10"/>
    <sheet name="Investments" sheetId="18" r:id="rId11"/>
    <sheet name="Grants Received" sheetId="12" r:id="rId12"/>
    <sheet name="Grants Expenditure - dnt print" sheetId="13" r:id="rId13"/>
    <sheet name="Capex Trend" sheetId="15" r:id="rId14"/>
  </sheets>
  <externalReferences>
    <externalReference r:id="rId15"/>
  </externalReferences>
  <definedNames>
    <definedName name="desc">'[1]Template names'!$B$27</definedName>
    <definedName name="Head1">'[1]Template names'!$B$2</definedName>
    <definedName name="Head2">'[1]Template names'!$B$3</definedName>
    <definedName name="Head57">'[1]Template names'!$B$61</definedName>
    <definedName name="muni">'[1]Template names'!$B$73</definedName>
    <definedName name="_xlnm.Print_Area" localSheetId="0">'C1 Sum'!$A$1:$K$53</definedName>
    <definedName name="_xlnm.Print_Area" localSheetId="1">'C4 Fin Perf'!$A$1:$S$49</definedName>
    <definedName name="_xlnm.Print_Area" localSheetId="3">'C5 - CAPEX'!$A$1:$L$53</definedName>
    <definedName name="_xlnm.Print_Area" localSheetId="4">'C6 - FIN POS'!$A$1:$G$48</definedName>
    <definedName name="_xlnm.Print_Area" localSheetId="5">'C7 - CASHFLOW'!$A$1:$L$41</definedName>
    <definedName name="_xlnm.Print_Area" localSheetId="13">'Capex Trend'!$A$1:$J$18</definedName>
    <definedName name="_xlnm.Print_Area" localSheetId="9">Creditors!$A$1:$K$19</definedName>
    <definedName name="_xlnm.Print_Area" localSheetId="8">Debtors!$A$1:$N$26</definedName>
    <definedName name="_xlnm.Print_Area" localSheetId="12">'Grants Expenditure - dnt print'!$A$1:$K$49</definedName>
    <definedName name="_xlnm.Print_Area" localSheetId="11">'Grants Received'!$A$1:$J$20</definedName>
    <definedName name="_xlnm.Print_Area" localSheetId="2">Graphics!$A$2:$H$114</definedName>
    <definedName name="_xlnm.Print_Area" localSheetId="7">Indicators!$A$1:$H$32</definedName>
    <definedName name="_xlnm.Print_Area" localSheetId="10">Investments!$A$1:$J$12</definedName>
    <definedName name="_xlnm.Print_Area" localSheetId="6">'Variance Analysis'!$A$1:$E$40</definedName>
    <definedName name="S71I">'[1]Template names'!$B$86</definedName>
    <definedName name="S71J">'[1]Template names'!$B$87</definedName>
    <definedName name="S71K">'[1]Template names'!$B$88</definedName>
  </definedNames>
  <calcPr calcId="144525"/>
</workbook>
</file>

<file path=xl/calcChain.xml><?xml version="1.0" encoding="utf-8"?>
<calcChain xmlns="http://schemas.openxmlformats.org/spreadsheetml/2006/main">
  <c r="G17" i="12" l="1"/>
  <c r="G16" i="12"/>
  <c r="G10" i="12"/>
  <c r="G9" i="12"/>
  <c r="G8" i="12"/>
  <c r="G18" i="12"/>
  <c r="F18" i="12"/>
  <c r="E18" i="12"/>
  <c r="D18" i="12"/>
  <c r="E12" i="12"/>
  <c r="D12" i="12"/>
  <c r="E7" i="12"/>
  <c r="K17" i="11"/>
  <c r="L15" i="11"/>
  <c r="L41" i="3"/>
  <c r="J41" i="3"/>
  <c r="K41" i="3" s="1"/>
  <c r="L40" i="3"/>
  <c r="K40" i="3"/>
  <c r="J40" i="3"/>
  <c r="L39" i="3"/>
  <c r="J39" i="3"/>
  <c r="K39" i="3" s="1"/>
  <c r="L36" i="3"/>
  <c r="J36" i="3"/>
  <c r="I16" i="3"/>
  <c r="I15" i="3"/>
  <c r="L12" i="3"/>
  <c r="L11" i="3"/>
  <c r="L10" i="3"/>
  <c r="L9" i="3"/>
  <c r="L8" i="3"/>
  <c r="K12" i="3"/>
  <c r="K11" i="3"/>
  <c r="K10" i="3"/>
  <c r="K9" i="3"/>
  <c r="K8" i="3"/>
  <c r="J12" i="3"/>
  <c r="J11" i="3"/>
  <c r="J10" i="3"/>
  <c r="J9" i="3"/>
  <c r="J8" i="3"/>
  <c r="I13" i="3"/>
  <c r="I12" i="3"/>
  <c r="I11" i="3"/>
  <c r="I10" i="3"/>
  <c r="I9" i="3"/>
  <c r="I8" i="3"/>
  <c r="I7" i="3"/>
  <c r="H13" i="3"/>
  <c r="H12" i="3"/>
  <c r="H11" i="3"/>
  <c r="H9" i="3"/>
  <c r="H8" i="3"/>
  <c r="H7" i="3"/>
  <c r="I17" i="12" l="1"/>
  <c r="G12" i="12"/>
  <c r="H17" i="12"/>
  <c r="G7" i="12"/>
  <c r="F19" i="7" l="1"/>
  <c r="J35" i="1"/>
  <c r="K35" i="1" l="1"/>
  <c r="G35" i="1" l="1"/>
  <c r="N21" i="10" l="1"/>
  <c r="M21" i="10"/>
  <c r="J21" i="10"/>
  <c r="I21" i="10"/>
  <c r="H21" i="10"/>
  <c r="G21" i="10"/>
  <c r="F21" i="10"/>
  <c r="E21" i="10"/>
  <c r="D21" i="10"/>
  <c r="C21" i="10"/>
  <c r="L20" i="10"/>
  <c r="K20" i="10"/>
  <c r="L19" i="10"/>
  <c r="K19" i="10"/>
  <c r="L18" i="10"/>
  <c r="K18" i="10"/>
  <c r="L17" i="10"/>
  <c r="L21" i="10" s="1"/>
  <c r="K17" i="10"/>
  <c r="K21" i="10" s="1"/>
  <c r="L15" i="10"/>
  <c r="K15" i="10"/>
  <c r="K25" i="10" s="1"/>
  <c r="N14" i="10"/>
  <c r="M14" i="10"/>
  <c r="J14" i="10"/>
  <c r="I14" i="10"/>
  <c r="H14" i="10"/>
  <c r="G14" i="10"/>
  <c r="F14" i="10"/>
  <c r="E14" i="10"/>
  <c r="D14" i="10"/>
  <c r="C14" i="10"/>
  <c r="L13" i="10"/>
  <c r="K13" i="10"/>
  <c r="L12" i="10"/>
  <c r="K12" i="10"/>
  <c r="L11" i="10"/>
  <c r="K11" i="10"/>
  <c r="L10" i="10"/>
  <c r="K10" i="10"/>
  <c r="L9" i="10"/>
  <c r="K9" i="10"/>
  <c r="L8" i="10"/>
  <c r="K8" i="10"/>
  <c r="L7" i="10"/>
  <c r="K7" i="10"/>
  <c r="L6" i="10"/>
  <c r="K6" i="10"/>
  <c r="L5" i="10"/>
  <c r="L14" i="10" s="1"/>
  <c r="K5" i="10"/>
  <c r="K14" i="10" s="1"/>
  <c r="K23" i="10" s="1"/>
  <c r="C2" i="10"/>
  <c r="A2" i="10"/>
  <c r="K20" i="1" l="1"/>
  <c r="K52" i="2" l="1"/>
  <c r="K51" i="2"/>
  <c r="K50" i="2"/>
  <c r="S36" i="1"/>
  <c r="S35" i="1"/>
  <c r="S34" i="1"/>
  <c r="S33" i="1"/>
  <c r="S32" i="1"/>
  <c r="S31" i="1"/>
  <c r="S30" i="1"/>
  <c r="S29" i="1"/>
  <c r="S28" i="1"/>
  <c r="S27" i="1"/>
  <c r="S26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L26" i="7"/>
  <c r="L42" i="7" s="1"/>
  <c r="L52" i="7"/>
  <c r="L51" i="7"/>
  <c r="L50" i="7"/>
  <c r="L48" i="7"/>
  <c r="L47" i="7"/>
  <c r="L46" i="7"/>
  <c r="L45" i="7"/>
  <c r="L44" i="7"/>
  <c r="L43" i="7"/>
  <c r="L41" i="7"/>
  <c r="L40" i="7"/>
  <c r="L39" i="7"/>
  <c r="L38" i="7"/>
  <c r="L37" i="7"/>
  <c r="L35" i="7"/>
  <c r="L34" i="7"/>
  <c r="L33" i="7"/>
  <c r="L31" i="7"/>
  <c r="L30" i="7"/>
  <c r="L29" i="7"/>
  <c r="L28" i="7"/>
  <c r="L27" i="7"/>
  <c r="L25" i="7"/>
  <c r="L24" i="7"/>
  <c r="L23" i="7"/>
  <c r="L17" i="7"/>
  <c r="L16" i="7"/>
  <c r="L15" i="7"/>
  <c r="L14" i="7"/>
  <c r="L13" i="7"/>
  <c r="L12" i="7"/>
  <c r="L11" i="7"/>
  <c r="L10" i="7"/>
  <c r="L9" i="7"/>
  <c r="L8" i="7"/>
  <c r="L7" i="7"/>
  <c r="L6" i="7"/>
  <c r="I45" i="7"/>
  <c r="I38" i="7"/>
  <c r="I37" i="7"/>
  <c r="I34" i="7"/>
  <c r="I33" i="7"/>
  <c r="I28" i="7"/>
  <c r="I17" i="7"/>
  <c r="I16" i="7"/>
  <c r="I15" i="7"/>
  <c r="I14" i="7"/>
  <c r="I13" i="7"/>
  <c r="I12" i="7"/>
  <c r="I11" i="7"/>
  <c r="I10" i="7"/>
  <c r="I9" i="7"/>
  <c r="I8" i="7"/>
  <c r="G40" i="6"/>
  <c r="G41" i="6" s="1"/>
  <c r="G35" i="6"/>
  <c r="G26" i="6"/>
  <c r="G25" i="6"/>
  <c r="G13" i="6"/>
  <c r="G48" i="6"/>
  <c r="G46" i="6"/>
  <c r="G39" i="6"/>
  <c r="G38" i="6"/>
  <c r="G34" i="6"/>
  <c r="G33" i="6"/>
  <c r="G32" i="6"/>
  <c r="G31" i="6"/>
  <c r="G30" i="6"/>
  <c r="G24" i="6"/>
  <c r="G23" i="6"/>
  <c r="G22" i="6"/>
  <c r="G21" i="6"/>
  <c r="G20" i="6"/>
  <c r="G19" i="6"/>
  <c r="G18" i="6"/>
  <c r="G17" i="6"/>
  <c r="G16" i="6"/>
  <c r="G12" i="6"/>
  <c r="G11" i="6"/>
  <c r="G10" i="6"/>
  <c r="G9" i="6"/>
  <c r="G8" i="6"/>
  <c r="G7" i="6"/>
  <c r="L27" i="3"/>
  <c r="L17" i="3"/>
  <c r="L16" i="3"/>
  <c r="L15" i="3"/>
  <c r="L14" i="3"/>
  <c r="L13" i="3"/>
  <c r="L7" i="3"/>
  <c r="I27" i="3"/>
  <c r="I17" i="3"/>
  <c r="I14" i="3"/>
  <c r="K35" i="13"/>
  <c r="K34" i="13"/>
  <c r="K33" i="13"/>
  <c r="K32" i="13"/>
  <c r="J10" i="12"/>
  <c r="J9" i="12"/>
  <c r="J8" i="12"/>
  <c r="J17" i="12"/>
  <c r="J16" i="12"/>
  <c r="J18" i="12" s="1"/>
  <c r="H33" i="13"/>
  <c r="H32" i="13"/>
  <c r="H14" i="13"/>
  <c r="H13" i="13"/>
  <c r="H12" i="13"/>
  <c r="H11" i="13"/>
  <c r="H10" i="13"/>
  <c r="H9" i="13"/>
  <c r="G10" i="13"/>
  <c r="G9" i="13"/>
  <c r="D42" i="7"/>
  <c r="J12" i="12" l="1"/>
  <c r="J7" i="12"/>
  <c r="G43" i="6"/>
  <c r="G32" i="13"/>
  <c r="G33" i="13"/>
  <c r="G15" i="13" l="1"/>
  <c r="G13" i="13"/>
  <c r="G11" i="13"/>
  <c r="F9" i="12" l="1"/>
  <c r="F12" i="12" l="1"/>
  <c r="F7" i="12"/>
  <c r="O14" i="1"/>
  <c r="O20" i="1"/>
  <c r="N20" i="1"/>
  <c r="F44" i="13" l="1"/>
  <c r="G7" i="15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6" i="15"/>
  <c r="F15" i="15"/>
  <c r="J15" i="15" s="1"/>
  <c r="F16" i="15"/>
  <c r="H16" i="15" s="1"/>
  <c r="F17" i="15"/>
  <c r="I17" i="15" s="1"/>
  <c r="F6" i="15"/>
  <c r="G36" i="7"/>
  <c r="H15" i="15" l="1"/>
  <c r="J17" i="15"/>
  <c r="F7" i="15"/>
  <c r="H17" i="15"/>
  <c r="I16" i="15"/>
  <c r="J16" i="15"/>
  <c r="H6" i="15"/>
  <c r="I6" i="15"/>
  <c r="I15" i="15"/>
  <c r="I37" i="1"/>
  <c r="F8" i="15" l="1"/>
  <c r="H7" i="15"/>
  <c r="I7" i="15" s="1"/>
  <c r="G37" i="1"/>
  <c r="F9" i="15" l="1"/>
  <c r="H8" i="15"/>
  <c r="I8" i="15" s="1"/>
  <c r="F10" i="15" l="1"/>
  <c r="H9" i="15"/>
  <c r="I9" i="15" s="1"/>
  <c r="I52" i="2"/>
  <c r="I50" i="2"/>
  <c r="J50" i="2" s="1"/>
  <c r="D17" i="2"/>
  <c r="K17" i="2" s="1"/>
  <c r="D18" i="2"/>
  <c r="K18" i="2" s="1"/>
  <c r="D16" i="2"/>
  <c r="K16" i="2" s="1"/>
  <c r="D15" i="2"/>
  <c r="K15" i="2" s="1"/>
  <c r="D14" i="2"/>
  <c r="K14" i="2" s="1"/>
  <c r="D13" i="2"/>
  <c r="K13" i="2" s="1"/>
  <c r="D12" i="2"/>
  <c r="K12" i="2" s="1"/>
  <c r="D10" i="2"/>
  <c r="K10" i="2" s="1"/>
  <c r="D9" i="2"/>
  <c r="K9" i="2" s="1"/>
  <c r="D8" i="2"/>
  <c r="K8" i="2" s="1"/>
  <c r="D7" i="2"/>
  <c r="K7" i="2" s="1"/>
  <c r="D6" i="2"/>
  <c r="K6" i="2" s="1"/>
  <c r="F11" i="15" l="1"/>
  <c r="H10" i="15"/>
  <c r="I10" i="15" s="1"/>
  <c r="F12" i="15" l="1"/>
  <c r="H11" i="15"/>
  <c r="I11" i="15" s="1"/>
  <c r="I29" i="7"/>
  <c r="I30" i="7"/>
  <c r="I31" i="7"/>
  <c r="I52" i="7"/>
  <c r="I48" i="7"/>
  <c r="I47" i="7"/>
  <c r="I46" i="7"/>
  <c r="I40" i="7"/>
  <c r="I39" i="7"/>
  <c r="I35" i="7"/>
  <c r="H12" i="15" l="1"/>
  <c r="I12" i="15" s="1"/>
  <c r="F13" i="15"/>
  <c r="H37" i="13"/>
  <c r="H36" i="13"/>
  <c r="H35" i="13"/>
  <c r="H34" i="13"/>
  <c r="H15" i="13"/>
  <c r="G7" i="18"/>
  <c r="G6" i="18"/>
  <c r="F14" i="15" l="1"/>
  <c r="H13" i="15"/>
  <c r="I13" i="15"/>
  <c r="F18" i="7"/>
  <c r="H14" i="15" l="1"/>
  <c r="I14" i="15" s="1"/>
  <c r="N26" i="1"/>
  <c r="Q26" i="1" s="1"/>
  <c r="O26" i="1" l="1"/>
  <c r="O27" i="1" l="1"/>
  <c r="O28" i="1"/>
  <c r="O29" i="1"/>
  <c r="O30" i="1"/>
  <c r="O31" i="1"/>
  <c r="O32" i="1"/>
  <c r="O33" i="1"/>
  <c r="O34" i="1"/>
  <c r="O35" i="1"/>
  <c r="O36" i="1"/>
  <c r="N27" i="1"/>
  <c r="Q27" i="1" s="1"/>
  <c r="N28" i="1"/>
  <c r="Q28" i="1" s="1"/>
  <c r="N29" i="1"/>
  <c r="Q29" i="1" s="1"/>
  <c r="N30" i="1"/>
  <c r="Q30" i="1" s="1"/>
  <c r="N31" i="1"/>
  <c r="Q31" i="1" s="1"/>
  <c r="N32" i="1"/>
  <c r="Q32" i="1" s="1"/>
  <c r="N33" i="1"/>
  <c r="Q33" i="1" s="1"/>
  <c r="N34" i="1"/>
  <c r="Q34" i="1" s="1"/>
  <c r="N35" i="1"/>
  <c r="N36" i="1"/>
  <c r="Q36" i="1" s="1"/>
  <c r="O21" i="1"/>
  <c r="O17" i="1"/>
  <c r="O7" i="1"/>
  <c r="O8" i="1"/>
  <c r="O9" i="1"/>
  <c r="O10" i="1"/>
  <c r="O11" i="1"/>
  <c r="O12" i="1"/>
  <c r="O13" i="1"/>
  <c r="O15" i="1"/>
  <c r="O16" i="1"/>
  <c r="O18" i="1"/>
  <c r="O19" i="1"/>
  <c r="O22" i="1"/>
  <c r="O6" i="1"/>
  <c r="N7" i="1"/>
  <c r="Q7" i="1" s="1"/>
  <c r="N8" i="1"/>
  <c r="Q8" i="1" s="1"/>
  <c r="N9" i="1"/>
  <c r="Q9" i="1" s="1"/>
  <c r="N10" i="1"/>
  <c r="Q10" i="1" s="1"/>
  <c r="N11" i="1"/>
  <c r="Q11" i="1" s="1"/>
  <c r="N12" i="1"/>
  <c r="Q12" i="1" s="1"/>
  <c r="N13" i="1"/>
  <c r="Q13" i="1" s="1"/>
  <c r="N14" i="1"/>
  <c r="Q14" i="1" s="1"/>
  <c r="N15" i="1"/>
  <c r="Q15" i="1" s="1"/>
  <c r="N16" i="1"/>
  <c r="Q16" i="1" s="1"/>
  <c r="N17" i="1"/>
  <c r="Q17" i="1" s="1"/>
  <c r="N18" i="1"/>
  <c r="Q18" i="1" s="1"/>
  <c r="N19" i="1"/>
  <c r="Q19" i="1" s="1"/>
  <c r="N21" i="1"/>
  <c r="Q21" i="1" s="1"/>
  <c r="N22" i="1"/>
  <c r="Q22" i="1" s="1"/>
  <c r="N6" i="1"/>
  <c r="Q6" i="1" s="1"/>
  <c r="O37" i="1" l="1"/>
  <c r="I25" i="7"/>
  <c r="I24" i="7"/>
  <c r="I23" i="7"/>
  <c r="I27" i="7"/>
  <c r="I51" i="7"/>
  <c r="I50" i="7"/>
  <c r="H8" i="1" l="1"/>
  <c r="E26" i="7"/>
  <c r="F26" i="7"/>
  <c r="G26" i="7"/>
  <c r="E32" i="7" l="1"/>
  <c r="G32" i="7"/>
  <c r="H33" i="2" l="1"/>
  <c r="C28" i="2" l="1"/>
  <c r="K36" i="1" l="1"/>
  <c r="K34" i="1"/>
  <c r="K33" i="1"/>
  <c r="K32" i="1"/>
  <c r="K31" i="1"/>
  <c r="K30" i="1"/>
  <c r="K29" i="1"/>
  <c r="K28" i="1"/>
  <c r="K27" i="1"/>
  <c r="K26" i="1"/>
  <c r="H36" i="1"/>
  <c r="H35" i="1"/>
  <c r="H34" i="1"/>
  <c r="H33" i="1"/>
  <c r="H32" i="1"/>
  <c r="H31" i="1"/>
  <c r="H30" i="1"/>
  <c r="H29" i="1"/>
  <c r="H28" i="1"/>
  <c r="H27" i="1"/>
  <c r="H26" i="1"/>
  <c r="F37" i="1"/>
  <c r="F23" i="1"/>
  <c r="A3" i="17" s="1"/>
  <c r="H6" i="1"/>
  <c r="K22" i="1"/>
  <c r="K21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13" i="1"/>
  <c r="H22" i="1"/>
  <c r="H21" i="1"/>
  <c r="H19" i="1"/>
  <c r="H18" i="1"/>
  <c r="H17" i="1"/>
  <c r="H16" i="1"/>
  <c r="H15" i="1"/>
  <c r="H14" i="1"/>
  <c r="H12" i="1"/>
  <c r="H11" i="1"/>
  <c r="H10" i="1"/>
  <c r="H9" i="1"/>
  <c r="H7" i="1"/>
  <c r="E22" i="1"/>
  <c r="E21" i="1"/>
  <c r="P20" i="1"/>
  <c r="Q20" i="1" s="1"/>
  <c r="E19" i="1"/>
  <c r="E18" i="1"/>
  <c r="E17" i="1"/>
  <c r="P17" i="1" s="1"/>
  <c r="E16" i="1"/>
  <c r="E15" i="1"/>
  <c r="E14" i="1"/>
  <c r="E13" i="1"/>
  <c r="P13" i="1" s="1"/>
  <c r="E12" i="1"/>
  <c r="E11" i="1"/>
  <c r="E10" i="1"/>
  <c r="E9" i="1"/>
  <c r="E8" i="1"/>
  <c r="P8" i="1" s="1"/>
  <c r="E7" i="1"/>
  <c r="E6" i="1"/>
  <c r="G23" i="1"/>
  <c r="B3" i="17" s="1"/>
  <c r="I23" i="1"/>
  <c r="C3" i="17" s="1"/>
  <c r="E36" i="1"/>
  <c r="E35" i="1"/>
  <c r="E34" i="1"/>
  <c r="E33" i="1"/>
  <c r="P33" i="1" s="1"/>
  <c r="E32" i="1"/>
  <c r="E31" i="1"/>
  <c r="E30" i="1"/>
  <c r="E29" i="1"/>
  <c r="E28" i="1"/>
  <c r="E27" i="1"/>
  <c r="E26" i="1"/>
  <c r="P16" i="1" l="1"/>
  <c r="P21" i="1"/>
  <c r="R21" i="1" s="1"/>
  <c r="P9" i="1"/>
  <c r="P28" i="1"/>
  <c r="P32" i="1"/>
  <c r="P36" i="1"/>
  <c r="P6" i="1"/>
  <c r="P10" i="1"/>
  <c r="R10" i="1" s="1"/>
  <c r="P12" i="1"/>
  <c r="D19" i="2"/>
  <c r="P26" i="1"/>
  <c r="F39" i="1"/>
  <c r="F43" i="1" s="1"/>
  <c r="F45" i="1" s="1"/>
  <c r="F47" i="1" s="1"/>
  <c r="F49" i="1" s="1"/>
  <c r="P18" i="1"/>
  <c r="R18" i="1" s="1"/>
  <c r="P22" i="1"/>
  <c r="P7" i="1"/>
  <c r="P11" i="1"/>
  <c r="P15" i="1"/>
  <c r="P19" i="1"/>
  <c r="R9" i="1"/>
  <c r="R13" i="1"/>
  <c r="R15" i="1"/>
  <c r="R17" i="1"/>
  <c r="P27" i="1"/>
  <c r="P29" i="1"/>
  <c r="P31" i="1"/>
  <c r="P35" i="1"/>
  <c r="Q35" i="1" s="1"/>
  <c r="R8" i="1"/>
  <c r="P14" i="1"/>
  <c r="P30" i="1"/>
  <c r="P34" i="1"/>
  <c r="I39" i="1"/>
  <c r="I43" i="1" s="1"/>
  <c r="I45" i="1" s="1"/>
  <c r="I47" i="1" s="1"/>
  <c r="I49" i="1" s="1"/>
  <c r="K23" i="1"/>
  <c r="E23" i="1"/>
  <c r="H37" i="1"/>
  <c r="H23" i="1"/>
  <c r="G39" i="1"/>
  <c r="G43" i="1" s="1"/>
  <c r="G45" i="1" s="1"/>
  <c r="G47" i="1" s="1"/>
  <c r="G49" i="1" s="1"/>
  <c r="K37" i="1"/>
  <c r="E37" i="1"/>
  <c r="R11" i="1" l="1"/>
  <c r="R14" i="1"/>
  <c r="R26" i="1"/>
  <c r="H39" i="1"/>
  <c r="H43" i="1" s="1"/>
  <c r="H45" i="1" s="1"/>
  <c r="H47" i="1" s="1"/>
  <c r="H49" i="1" s="1"/>
  <c r="E39" i="1"/>
  <c r="E43" i="1" s="1"/>
  <c r="E45" i="1" s="1"/>
  <c r="E47" i="1" s="1"/>
  <c r="E49" i="1" s="1"/>
  <c r="K39" i="1"/>
  <c r="K43" i="1" s="1"/>
  <c r="K45" i="1" s="1"/>
  <c r="K47" i="1" s="1"/>
  <c r="K49" i="1" s="1"/>
  <c r="P37" i="1"/>
  <c r="P23" i="1"/>
  <c r="R6" i="1"/>
  <c r="R20" i="1"/>
  <c r="E18" i="7"/>
  <c r="E19" i="7" s="1"/>
  <c r="P39" i="1" l="1"/>
  <c r="P43" i="1" s="1"/>
  <c r="P45" i="1" s="1"/>
  <c r="P47" i="1" s="1"/>
  <c r="P49" i="1" s="1"/>
  <c r="H6" i="7"/>
  <c r="H7" i="7"/>
  <c r="H8" i="7"/>
  <c r="H9" i="7"/>
  <c r="H10" i="7"/>
  <c r="H11" i="7"/>
  <c r="H12" i="7"/>
  <c r="H13" i="7"/>
  <c r="H14" i="7"/>
  <c r="H15" i="7"/>
  <c r="H16" i="7"/>
  <c r="H17" i="7"/>
  <c r="J13" i="7" l="1"/>
  <c r="J8" i="7"/>
  <c r="J11" i="7"/>
  <c r="J14" i="7"/>
  <c r="J10" i="7"/>
  <c r="J9" i="7"/>
  <c r="J17" i="7"/>
  <c r="J15" i="7"/>
  <c r="J12" i="7"/>
  <c r="J16" i="7"/>
  <c r="F32" i="7"/>
  <c r="F36" i="7"/>
  <c r="E49" i="13" l="1"/>
  <c r="K38" i="13"/>
  <c r="H38" i="13"/>
  <c r="G38" i="13"/>
  <c r="F38" i="13"/>
  <c r="E38" i="13"/>
  <c r="D38" i="13"/>
  <c r="K31" i="13"/>
  <c r="K47" i="13" s="1"/>
  <c r="I37" i="13"/>
  <c r="J37" i="13" s="1"/>
  <c r="I36" i="13"/>
  <c r="J36" i="13" s="1"/>
  <c r="I35" i="13"/>
  <c r="J35" i="13" s="1"/>
  <c r="I34" i="13"/>
  <c r="J34" i="13" s="1"/>
  <c r="I33" i="13"/>
  <c r="J33" i="13" s="1"/>
  <c r="I32" i="13"/>
  <c r="J32" i="13" s="1"/>
  <c r="H31" i="13"/>
  <c r="H47" i="13" s="1"/>
  <c r="G31" i="13"/>
  <c r="G47" i="13" s="1"/>
  <c r="F31" i="13"/>
  <c r="F47" i="13" s="1"/>
  <c r="D31" i="13"/>
  <c r="K15" i="13"/>
  <c r="K14" i="13"/>
  <c r="K13" i="13"/>
  <c r="K12" i="13"/>
  <c r="K11" i="13"/>
  <c r="K10" i="13"/>
  <c r="K9" i="13"/>
  <c r="I15" i="13"/>
  <c r="J15" i="13" s="1"/>
  <c r="I9" i="13"/>
  <c r="J9" i="13" s="1"/>
  <c r="I14" i="13"/>
  <c r="J14" i="13" s="1"/>
  <c r="I13" i="13"/>
  <c r="J13" i="13" s="1"/>
  <c r="I11" i="13"/>
  <c r="J11" i="13" s="1"/>
  <c r="I10" i="13"/>
  <c r="J10" i="13" s="1"/>
  <c r="F8" i="13"/>
  <c r="F28" i="13" s="1"/>
  <c r="D8" i="13"/>
  <c r="D28" i="13" s="1"/>
  <c r="H27" i="3"/>
  <c r="J14" i="3"/>
  <c r="D47" i="13" l="1"/>
  <c r="D49" i="13" s="1"/>
  <c r="F49" i="13"/>
  <c r="I38" i="13"/>
  <c r="J38" i="13" s="1"/>
  <c r="H8" i="13"/>
  <c r="H28" i="13" s="1"/>
  <c r="H49" i="13" s="1"/>
  <c r="K8" i="13"/>
  <c r="K28" i="13" s="1"/>
  <c r="K49" i="13" s="1"/>
  <c r="G8" i="13"/>
  <c r="G28" i="13" s="1"/>
  <c r="G49" i="13" s="1"/>
  <c r="I12" i="13"/>
  <c r="I31" i="13"/>
  <c r="J27" i="3"/>
  <c r="K27" i="3" s="1"/>
  <c r="I8" i="13" l="1"/>
  <c r="J12" i="13"/>
  <c r="J31" i="13"/>
  <c r="I47" i="13"/>
  <c r="J47" i="13" s="1"/>
  <c r="F40" i="6"/>
  <c r="F35" i="6"/>
  <c r="F13" i="6"/>
  <c r="D13" i="6"/>
  <c r="I28" i="13" l="1"/>
  <c r="J8" i="13"/>
  <c r="D25" i="6"/>
  <c r="D35" i="6"/>
  <c r="D40" i="6"/>
  <c r="D48" i="6"/>
  <c r="D41" i="6" l="1"/>
  <c r="J28" i="13"/>
  <c r="I49" i="13"/>
  <c r="J49" i="13" s="1"/>
  <c r="D26" i="6"/>
  <c r="D36" i="7"/>
  <c r="D32" i="7"/>
  <c r="D26" i="7"/>
  <c r="D43" i="6" l="1"/>
  <c r="G15" i="11"/>
  <c r="F15" i="11"/>
  <c r="E15" i="11"/>
  <c r="D15" i="11"/>
  <c r="C15" i="11"/>
  <c r="K13" i="11"/>
  <c r="K12" i="11"/>
  <c r="K7" i="11"/>
  <c r="K6" i="11"/>
  <c r="L21" i="12"/>
  <c r="L20" i="12"/>
  <c r="J15" i="12"/>
  <c r="H16" i="12"/>
  <c r="I16" i="12" s="1"/>
  <c r="I18" i="12" s="1"/>
  <c r="F15" i="12"/>
  <c r="E15" i="12"/>
  <c r="E20" i="12" s="1"/>
  <c r="H10" i="12"/>
  <c r="I10" i="12" s="1"/>
  <c r="H9" i="12"/>
  <c r="I9" i="12" s="1"/>
  <c r="H8" i="12"/>
  <c r="I8" i="12" s="1"/>
  <c r="D15" i="12"/>
  <c r="D7" i="12"/>
  <c r="D37" i="1"/>
  <c r="D23" i="1"/>
  <c r="I12" i="12" l="1"/>
  <c r="I7" i="12"/>
  <c r="H15" i="12"/>
  <c r="H18" i="12"/>
  <c r="H12" i="12"/>
  <c r="H7" i="12"/>
  <c r="F20" i="12"/>
  <c r="K15" i="11"/>
  <c r="G15" i="12"/>
  <c r="D20" i="12"/>
  <c r="J20" i="12"/>
  <c r="D39" i="1"/>
  <c r="D43" i="1" s="1"/>
  <c r="D45" i="1" s="1"/>
  <c r="D47" i="1" s="1"/>
  <c r="D49" i="1" s="1"/>
  <c r="E18" i="15"/>
  <c r="H20" i="12" l="1"/>
  <c r="G20" i="12"/>
  <c r="C18" i="15"/>
  <c r="J6" i="15" l="1"/>
  <c r="J7" i="15"/>
  <c r="J8" i="15"/>
  <c r="J9" i="15"/>
  <c r="J10" i="15"/>
  <c r="J11" i="15"/>
  <c r="J12" i="15"/>
  <c r="J13" i="15"/>
  <c r="J14" i="15"/>
  <c r="R33" i="1"/>
  <c r="R31" i="1"/>
  <c r="R27" i="1"/>
  <c r="R30" i="1"/>
  <c r="N23" i="1"/>
  <c r="Q23" i="1" l="1"/>
  <c r="R23" i="1" s="1"/>
  <c r="K24" i="10"/>
  <c r="K19" i="11"/>
  <c r="K18" i="11" s="1"/>
  <c r="J12" i="18" l="1"/>
  <c r="I12" i="18"/>
  <c r="H12" i="18"/>
  <c r="F12" i="18"/>
  <c r="C46" i="2"/>
  <c r="C40" i="2"/>
  <c r="E32" i="2"/>
  <c r="D32" i="2"/>
  <c r="F31" i="2"/>
  <c r="E31" i="2"/>
  <c r="D31" i="2"/>
  <c r="F30" i="2"/>
  <c r="E30" i="2"/>
  <c r="D30" i="2"/>
  <c r="F18" i="2"/>
  <c r="F17" i="2"/>
  <c r="F16" i="2"/>
  <c r="F15" i="2"/>
  <c r="F14" i="2"/>
  <c r="F13" i="2"/>
  <c r="F12" i="2"/>
  <c r="E18" i="2"/>
  <c r="E17" i="2"/>
  <c r="E15" i="2"/>
  <c r="E14" i="2"/>
  <c r="E13" i="2"/>
  <c r="E12" i="2"/>
  <c r="F10" i="2"/>
  <c r="F9" i="2"/>
  <c r="F8" i="2"/>
  <c r="F7" i="2"/>
  <c r="F6" i="2"/>
  <c r="E10" i="2"/>
  <c r="E9" i="2"/>
  <c r="E8" i="2"/>
  <c r="E7" i="2"/>
  <c r="E6" i="2"/>
  <c r="G15" i="2" l="1"/>
  <c r="G12" i="2"/>
  <c r="G13" i="2"/>
  <c r="G17" i="2"/>
  <c r="I17" i="2" s="1"/>
  <c r="G18" i="2"/>
  <c r="I18" i="2" s="1"/>
  <c r="G14" i="2"/>
  <c r="R35" i="1"/>
  <c r="G31" i="2"/>
  <c r="G30" i="2"/>
  <c r="H36" i="3"/>
  <c r="H34" i="3"/>
  <c r="H33" i="3"/>
  <c r="H32" i="3"/>
  <c r="H25" i="3"/>
  <c r="H24" i="3"/>
  <c r="H23" i="3"/>
  <c r="H22" i="3"/>
  <c r="H17" i="3"/>
  <c r="H16" i="3"/>
  <c r="H15" i="3"/>
  <c r="H10" i="3"/>
  <c r="I14" i="2" l="1"/>
  <c r="I15" i="2"/>
  <c r="J15" i="2" s="1"/>
  <c r="I13" i="2"/>
  <c r="J13" i="2" s="1"/>
  <c r="I12" i="2"/>
  <c r="J12" i="2" s="1"/>
  <c r="J18" i="2"/>
  <c r="J16" i="3"/>
  <c r="K16" i="3" s="1"/>
  <c r="J7" i="3"/>
  <c r="K7" i="3" s="1"/>
  <c r="J13" i="3"/>
  <c r="J15" i="3"/>
  <c r="K15" i="3" s="1"/>
  <c r="J17" i="3"/>
  <c r="F48" i="6"/>
  <c r="F25" i="6"/>
  <c r="G37" i="2" s="1"/>
  <c r="G36" i="2"/>
  <c r="G39" i="2"/>
  <c r="G38" i="2"/>
  <c r="G40" i="2" l="1"/>
  <c r="F26" i="6"/>
  <c r="F41" i="6"/>
  <c r="L37" i="3"/>
  <c r="K37" i="3"/>
  <c r="J37" i="3"/>
  <c r="I37" i="3"/>
  <c r="H37" i="3"/>
  <c r="G45" i="2" s="1"/>
  <c r="K45" i="2" s="1"/>
  <c r="G37" i="3"/>
  <c r="F45" i="2" s="1"/>
  <c r="F37" i="3"/>
  <c r="E45" i="2" s="1"/>
  <c r="E37" i="3"/>
  <c r="D45" i="2" s="1"/>
  <c r="C37" i="3"/>
  <c r="D37" i="3"/>
  <c r="L28" i="3"/>
  <c r="J28" i="3"/>
  <c r="I28" i="3"/>
  <c r="H28" i="3"/>
  <c r="G44" i="2" s="1"/>
  <c r="G28" i="3"/>
  <c r="F44" i="2" s="1"/>
  <c r="F28" i="3"/>
  <c r="E44" i="2" s="1"/>
  <c r="E28" i="3"/>
  <c r="D44" i="2" s="1"/>
  <c r="K44" i="2" s="1"/>
  <c r="D28" i="3"/>
  <c r="L18" i="3"/>
  <c r="J18" i="3"/>
  <c r="I18" i="3"/>
  <c r="I39" i="3" s="1"/>
  <c r="H18" i="3"/>
  <c r="G43" i="2" s="1"/>
  <c r="G18" i="3"/>
  <c r="F43" i="2" s="1"/>
  <c r="F18" i="3"/>
  <c r="E43" i="2" s="1"/>
  <c r="E18" i="3"/>
  <c r="D43" i="2" s="1"/>
  <c r="K43" i="2" s="1"/>
  <c r="D18" i="3"/>
  <c r="I49" i="7"/>
  <c r="I53" i="7" s="1"/>
  <c r="H51" i="7"/>
  <c r="H50" i="7"/>
  <c r="G49" i="7"/>
  <c r="F49" i="7"/>
  <c r="E49" i="7"/>
  <c r="C49" i="7"/>
  <c r="C53" i="7" s="1"/>
  <c r="D49" i="7"/>
  <c r="D53" i="7" s="1"/>
  <c r="H48" i="7"/>
  <c r="H47" i="7"/>
  <c r="H46" i="7"/>
  <c r="H45" i="7"/>
  <c r="H41" i="7"/>
  <c r="H40" i="7"/>
  <c r="H39" i="7"/>
  <c r="J39" i="7" s="1"/>
  <c r="K39" i="7" s="1"/>
  <c r="H38" i="7"/>
  <c r="H37" i="7"/>
  <c r="J37" i="7" s="1"/>
  <c r="K37" i="7" s="1"/>
  <c r="H35" i="7"/>
  <c r="H34" i="7"/>
  <c r="H33" i="7"/>
  <c r="J33" i="7" s="1"/>
  <c r="H31" i="7"/>
  <c r="H30" i="7"/>
  <c r="H29" i="7"/>
  <c r="H28" i="7"/>
  <c r="H27" i="7"/>
  <c r="H25" i="7"/>
  <c r="H24" i="7"/>
  <c r="H23" i="7"/>
  <c r="E36" i="7"/>
  <c r="C36" i="7"/>
  <c r="C32" i="7"/>
  <c r="C26" i="7"/>
  <c r="K22" i="7"/>
  <c r="J22" i="7"/>
  <c r="G22" i="7"/>
  <c r="G52" i="7" s="1"/>
  <c r="F32" i="2" s="1"/>
  <c r="G32" i="2" s="1"/>
  <c r="I32" i="2" s="1"/>
  <c r="J32" i="2" s="1"/>
  <c r="F22" i="7"/>
  <c r="C22" i="7"/>
  <c r="L18" i="7"/>
  <c r="L19" i="7" s="1"/>
  <c r="K18" i="7"/>
  <c r="K19" i="7" s="1"/>
  <c r="J18" i="7"/>
  <c r="J19" i="7" s="1"/>
  <c r="G18" i="7"/>
  <c r="G19" i="7" s="1"/>
  <c r="D18" i="7"/>
  <c r="D19" i="7" s="1"/>
  <c r="S23" i="1"/>
  <c r="M23" i="1"/>
  <c r="L23" i="1"/>
  <c r="M37" i="1"/>
  <c r="L37" i="1"/>
  <c r="J37" i="1"/>
  <c r="C33" i="2"/>
  <c r="H11" i="2"/>
  <c r="F11" i="2"/>
  <c r="E11" i="2"/>
  <c r="D11" i="2"/>
  <c r="C11" i="2"/>
  <c r="B11" i="2"/>
  <c r="H19" i="2"/>
  <c r="F19" i="2"/>
  <c r="C19" i="2"/>
  <c r="B19" i="2"/>
  <c r="G7" i="2"/>
  <c r="G8" i="2"/>
  <c r="G9" i="2"/>
  <c r="G10" i="2"/>
  <c r="G6" i="2"/>
  <c r="H52" i="7" l="1"/>
  <c r="J52" i="7" s="1"/>
  <c r="G53" i="7"/>
  <c r="K18" i="3"/>
  <c r="L22" i="7"/>
  <c r="J28" i="7"/>
  <c r="I10" i="2"/>
  <c r="J10" i="2" s="1"/>
  <c r="I8" i="2"/>
  <c r="J8" i="2" s="1"/>
  <c r="I6" i="2"/>
  <c r="J6" i="2" s="1"/>
  <c r="I7" i="2"/>
  <c r="J7" i="2" s="1"/>
  <c r="I9" i="2"/>
  <c r="I44" i="2"/>
  <c r="J44" i="2" s="1"/>
  <c r="I43" i="2"/>
  <c r="J43" i="2" s="1"/>
  <c r="F43" i="6"/>
  <c r="K28" i="3"/>
  <c r="L32" i="7"/>
  <c r="J34" i="7"/>
  <c r="E29" i="2"/>
  <c r="E33" i="2" s="1"/>
  <c r="F53" i="7"/>
  <c r="I22" i="7"/>
  <c r="I32" i="7"/>
  <c r="I36" i="7"/>
  <c r="J38" i="7"/>
  <c r="L36" i="7"/>
  <c r="L49" i="7"/>
  <c r="J45" i="7"/>
  <c r="K45" i="7" s="1"/>
  <c r="D29" i="2"/>
  <c r="E53" i="7"/>
  <c r="H20" i="2"/>
  <c r="H23" i="2" s="1"/>
  <c r="H25" i="2" s="1"/>
  <c r="C20" i="2"/>
  <c r="C23" i="2" s="1"/>
  <c r="C25" i="2" s="1"/>
  <c r="D46" i="2"/>
  <c r="F39" i="3"/>
  <c r="F46" i="2"/>
  <c r="I18" i="7"/>
  <c r="I19" i="7" s="1"/>
  <c r="G42" i="7"/>
  <c r="F28" i="2" s="1"/>
  <c r="F42" i="7"/>
  <c r="E28" i="2" s="1"/>
  <c r="I26" i="7"/>
  <c r="E46" i="2"/>
  <c r="D39" i="3"/>
  <c r="D41" i="3" s="1"/>
  <c r="B20" i="2"/>
  <c r="B23" i="2" s="1"/>
  <c r="B25" i="2" s="1"/>
  <c r="H18" i="7"/>
  <c r="H19" i="7" s="1"/>
  <c r="F29" i="2"/>
  <c r="F33" i="2" s="1"/>
  <c r="G11" i="2"/>
  <c r="L39" i="1"/>
  <c r="L43" i="1" s="1"/>
  <c r="L45" i="1" s="1"/>
  <c r="L47" i="1" s="1"/>
  <c r="L49" i="1" s="1"/>
  <c r="H49" i="7"/>
  <c r="E42" i="7"/>
  <c r="F20" i="2"/>
  <c r="F23" i="2" s="1"/>
  <c r="F25" i="2" s="1"/>
  <c r="D20" i="2"/>
  <c r="D23" i="2" s="1"/>
  <c r="D25" i="2" s="1"/>
  <c r="M39" i="1"/>
  <c r="M43" i="1" s="1"/>
  <c r="M45" i="1" s="1"/>
  <c r="M47" i="1" s="1"/>
  <c r="M49" i="1" s="1"/>
  <c r="E39" i="3"/>
  <c r="H39" i="3"/>
  <c r="H32" i="7"/>
  <c r="H36" i="7"/>
  <c r="H26" i="7"/>
  <c r="H22" i="7"/>
  <c r="G39" i="3"/>
  <c r="D33" i="2" l="1"/>
  <c r="K29" i="2"/>
  <c r="L53" i="7"/>
  <c r="K11" i="2"/>
  <c r="E41" i="3"/>
  <c r="F40" i="3" s="1"/>
  <c r="F41" i="3" s="1"/>
  <c r="G40" i="3" s="1"/>
  <c r="G41" i="3" s="1"/>
  <c r="H40" i="3" s="1"/>
  <c r="H41" i="3" s="1"/>
  <c r="J9" i="2"/>
  <c r="I11" i="2"/>
  <c r="J32" i="7"/>
  <c r="K32" i="7" s="1"/>
  <c r="I42" i="7"/>
  <c r="G29" i="2"/>
  <c r="H42" i="7"/>
  <c r="J26" i="7"/>
  <c r="H53" i="7"/>
  <c r="J53" i="7" s="1"/>
  <c r="K53" i="7" s="1"/>
  <c r="J49" i="7"/>
  <c r="K49" i="7" s="1"/>
  <c r="K38" i="7"/>
  <c r="J36" i="7"/>
  <c r="K36" i="7" s="1"/>
  <c r="D28" i="2"/>
  <c r="G28" i="2" s="1"/>
  <c r="C2" i="11"/>
  <c r="A2" i="11"/>
  <c r="G33" i="2" l="1"/>
  <c r="I33" i="2" s="1"/>
  <c r="J33" i="2" s="1"/>
  <c r="I29" i="2"/>
  <c r="J29" i="2" s="1"/>
  <c r="K33" i="2"/>
  <c r="G46" i="2"/>
  <c r="J11" i="2"/>
  <c r="K26" i="7"/>
  <c r="J42" i="7"/>
  <c r="K42" i="7" s="1"/>
  <c r="O23" i="1"/>
  <c r="J23" i="1"/>
  <c r="E16" i="2"/>
  <c r="J39" i="1" l="1"/>
  <c r="J43" i="1" s="1"/>
  <c r="J45" i="1" s="1"/>
  <c r="J47" i="1" s="1"/>
  <c r="J49" i="1" s="1"/>
  <c r="D3" i="17"/>
  <c r="G16" i="2"/>
  <c r="O39" i="1"/>
  <c r="O43" i="1" s="1"/>
  <c r="O45" i="1" s="1"/>
  <c r="O47" i="1" s="1"/>
  <c r="O49" i="1" s="1"/>
  <c r="N37" i="1"/>
  <c r="S37" i="1"/>
  <c r="E19" i="2"/>
  <c r="E20" i="2" s="1"/>
  <c r="E23" i="2" s="1"/>
  <c r="E25" i="2" s="1"/>
  <c r="N39" i="1" l="1"/>
  <c r="N43" i="1" s="1"/>
  <c r="N45" i="1" s="1"/>
  <c r="N47" i="1" s="1"/>
  <c r="N49" i="1" s="1"/>
  <c r="Q37" i="1"/>
  <c r="G19" i="2"/>
  <c r="G20" i="2" s="1"/>
  <c r="G23" i="2" s="1"/>
  <c r="G25" i="2" s="1"/>
  <c r="I16" i="2"/>
  <c r="K19" i="2"/>
  <c r="K20" i="2" s="1"/>
  <c r="K23" i="2" s="1"/>
  <c r="K25" i="2" s="1"/>
  <c r="Q39" i="1"/>
  <c r="Q43" i="1" s="1"/>
  <c r="Q45" i="1" s="1"/>
  <c r="Q47" i="1" s="1"/>
  <c r="Q49" i="1" s="1"/>
  <c r="R37" i="1"/>
  <c r="R39" i="1" s="1"/>
  <c r="R43" i="1" s="1"/>
  <c r="R45" i="1" s="1"/>
  <c r="R47" i="1" s="1"/>
  <c r="R49" i="1" s="1"/>
  <c r="S39" i="1"/>
  <c r="S43" i="1" s="1"/>
  <c r="S45" i="1" s="1"/>
  <c r="S47" i="1" s="1"/>
  <c r="S49" i="1" s="1"/>
  <c r="J16" i="2" l="1"/>
  <c r="I19" i="2"/>
  <c r="J19" i="2" l="1"/>
  <c r="I20" i="2"/>
  <c r="I23" i="2" l="1"/>
  <c r="I25" i="2" s="1"/>
  <c r="J20" i="2"/>
  <c r="J23" i="2" s="1"/>
  <c r="J25" i="2" s="1"/>
</calcChain>
</file>

<file path=xl/sharedStrings.xml><?xml version="1.0" encoding="utf-8"?>
<sst xmlns="http://schemas.openxmlformats.org/spreadsheetml/2006/main" count="653" uniqueCount="433">
  <si>
    <t>Description</t>
  </si>
  <si>
    <t>Ref</t>
  </si>
  <si>
    <t>2012/13</t>
  </si>
  <si>
    <t>Audited Outcome</t>
  </si>
  <si>
    <t>Original Budget</t>
  </si>
  <si>
    <t>Adjusted Budget</t>
  </si>
  <si>
    <t>Monthly actual</t>
  </si>
  <si>
    <t>YearTD actual</t>
  </si>
  <si>
    <t>YearTD budget</t>
  </si>
  <si>
    <t>YTD variance</t>
  </si>
  <si>
    <t>Full Year Forecast</t>
  </si>
  <si>
    <t>R thousands</t>
  </si>
  <si>
    <t>%</t>
  </si>
  <si>
    <t>Revenue By Source</t>
  </si>
  <si>
    <t>Property rates</t>
  </si>
  <si>
    <t>Property rates - penalties &amp; collection charges</t>
  </si>
  <si>
    <t/>
  </si>
  <si>
    <t>Service charges - electricity revenue</t>
  </si>
  <si>
    <t>Service charges - water revenue</t>
  </si>
  <si>
    <t>Service charges - sanitation revenue</t>
  </si>
  <si>
    <t>Service charges - refuse revenue</t>
  </si>
  <si>
    <t>Service charges - other</t>
  </si>
  <si>
    <t>Rental of facilities and equipment</t>
  </si>
  <si>
    <t>Interest earned - external investments</t>
  </si>
  <si>
    <t>Interest earned - outstanding debtors</t>
  </si>
  <si>
    <t>Dividends received</t>
  </si>
  <si>
    <t>Fines</t>
  </si>
  <si>
    <t>Licences and permits</t>
  </si>
  <si>
    <t>Agency services</t>
  </si>
  <si>
    <t>Transfers recognised - operational</t>
  </si>
  <si>
    <t>Other revenue</t>
  </si>
  <si>
    <t>Gains on disposal of PPE</t>
  </si>
  <si>
    <t>Total Revenue (excluding capital transfers and contributions)</t>
  </si>
  <si>
    <t>Expenditure By Type</t>
  </si>
  <si>
    <t>Employee related costs</t>
  </si>
  <si>
    <t>Remuneration of councillors</t>
  </si>
  <si>
    <t>Debt impairment</t>
  </si>
  <si>
    <t>Depreciation &amp; asset impairment</t>
  </si>
  <si>
    <t>Finance charges</t>
  </si>
  <si>
    <t>Bulk purchases</t>
  </si>
  <si>
    <t>Other materials</t>
  </si>
  <si>
    <t>Contracted services</t>
  </si>
  <si>
    <t>Transfers and grants</t>
  </si>
  <si>
    <t>Other expenditure</t>
  </si>
  <si>
    <t>Loss on disposal of PPE</t>
  </si>
  <si>
    <t>Total Expenditure</t>
  </si>
  <si>
    <t>Surplus/(Deficit)</t>
  </si>
  <si>
    <t>Transfers recognised - capital</t>
  </si>
  <si>
    <t>Contributions recognised - capital</t>
  </si>
  <si>
    <t>Contributed assets</t>
  </si>
  <si>
    <t>Surplus/(Deficit) after capital transfers &amp; contributions</t>
  </si>
  <si>
    <t>Taxation</t>
  </si>
  <si>
    <t>Surplus/(Deficit) after taxation</t>
  </si>
  <si>
    <t>Attributable to minorities</t>
  </si>
  <si>
    <t>Surplus/(Deficit) attributable to municipality</t>
  </si>
  <si>
    <t>Share of surplus/ (deficit) of associate</t>
  </si>
  <si>
    <t>Surplus/ (Deficit) for the year</t>
  </si>
  <si>
    <t>Financial Performance</t>
  </si>
  <si>
    <t>Service charges</t>
  </si>
  <si>
    <t>Investment revenue</t>
  </si>
  <si>
    <t>Other own revenue</t>
  </si>
  <si>
    <t>Employee costs</t>
  </si>
  <si>
    <t>Remuneration of Councillors</t>
  </si>
  <si>
    <t>Materials and bulk purchases</t>
  </si>
  <si>
    <t>Contributions &amp; Contributed assets</t>
  </si>
  <si>
    <t>Capital expenditure &amp; funds sources</t>
  </si>
  <si>
    <t>Capital expenditure</t>
  </si>
  <si>
    <t>Capital transfers recognised</t>
  </si>
  <si>
    <t>Public contributions &amp; donations</t>
  </si>
  <si>
    <t>Borrowing</t>
  </si>
  <si>
    <t>Internally generated funds</t>
  </si>
  <si>
    <t>Total sources of capital funds</t>
  </si>
  <si>
    <t>Financial position</t>
  </si>
  <si>
    <t>Total current assets</t>
  </si>
  <si>
    <t>Total non current assets</t>
  </si>
  <si>
    <t>Total current liabilities</t>
  </si>
  <si>
    <t>Total non current liabilities</t>
  </si>
  <si>
    <t>Community wealth/Equity</t>
  </si>
  <si>
    <t>Cash flows</t>
  </si>
  <si>
    <t>Net cash from (used) operating</t>
  </si>
  <si>
    <t>Net cash from (used) investing</t>
  </si>
  <si>
    <t>Net cash from (used) financing</t>
  </si>
  <si>
    <t>Cash/cash equivalents at the month/year end</t>
  </si>
  <si>
    <t>Debtors &amp; creditors analysis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</si>
  <si>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</si>
  <si>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</si>
  <si>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</si>
  <si>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</si>
  <si>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</si>
  <si>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</si>
  <si>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</si>
  <si>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</si>
  <si>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Total</t>
  </si>
  <si>
    <t>Debtors Age Analysis</t>
  </si>
  <si>
    <t>Total By Revenue Source</t>
  </si>
  <si>
    <t>Creditors Age Analysis</t>
  </si>
  <si>
    <t>Total Creditors</t>
  </si>
  <si>
    <t>Governance and administration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</si>
  <si>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</si>
  <si>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</si>
  <si>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</si>
  <si>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</si>
  <si>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</si>
  <si>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</si>
  <si>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</si>
  <si>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Housing</t>
  </si>
  <si>
    <t>Health</t>
  </si>
  <si>
    <t>Economic and environmental services</t>
  </si>
  <si>
    <t>Planning and development</t>
  </si>
  <si>
    <t>Road transport</t>
  </si>
  <si>
    <t>Environmental protection</t>
  </si>
  <si>
    <t>Trading services</t>
  </si>
  <si>
    <t>Electricity</t>
  </si>
  <si>
    <t>Water</t>
  </si>
  <si>
    <t>Waste water management</t>
  </si>
  <si>
    <t>Waste management</t>
  </si>
  <si>
    <t>Other</t>
  </si>
  <si>
    <t>Vote Description</t>
  </si>
  <si>
    <t>Vote 1 - Council and Executive</t>
  </si>
  <si>
    <t>Vote 2 - Financial and Administration Services</t>
  </si>
  <si>
    <t>Vote 3 - Planning and Development</t>
  </si>
  <si>
    <t>Vote 4 - Health</t>
  </si>
  <si>
    <t>Vote 5 - Community and Social Services</t>
  </si>
  <si>
    <t>Vote 6 - Public Safety</t>
  </si>
  <si>
    <t>Vote 7 - Sports and recreation</t>
  </si>
  <si>
    <t>Vote 8 - Waste Management</t>
  </si>
  <si>
    <t>Vote 9 - Waste Water Management</t>
  </si>
  <si>
    <t>Vote 10 - Road Transport</t>
  </si>
  <si>
    <t>Vote 11 - Water</t>
  </si>
  <si>
    <t>Vote 12 - Electricity</t>
  </si>
  <si>
    <t>Single Year expenditure appropriation</t>
  </si>
  <si>
    <t>Total Capital single-year expenditure</t>
  </si>
  <si>
    <t>Total Capital Expenditure</t>
  </si>
  <si>
    <t>Capital Expenditure - Standard Classification</t>
  </si>
  <si>
    <t>Total Capital Expenditure - Standard Classification</t>
  </si>
  <si>
    <t>Funded by:</t>
  </si>
  <si>
    <t>National Government</t>
  </si>
  <si>
    <t>Provincial Government</t>
  </si>
  <si>
    <t>District Municipality</t>
  </si>
  <si>
    <t>Other transfers and grants</t>
  </si>
  <si>
    <t>Total Capital Funding</t>
  </si>
  <si>
    <t>ASSETS</t>
  </si>
  <si>
    <t>Current assets</t>
  </si>
  <si>
    <t>Cash</t>
  </si>
  <si>
    <t>Call investment deposits</t>
  </si>
  <si>
    <t>Consumer debtors</t>
  </si>
  <si>
    <t>Other debtors</t>
  </si>
  <si>
    <t>Current portion of long-term receivables</t>
  </si>
  <si>
    <t>Inventory</t>
  </si>
  <si>
    <t>Non current assets</t>
  </si>
  <si>
    <t>Long-term receivables</t>
  </si>
  <si>
    <t>Investments</t>
  </si>
  <si>
    <t>Investment property</t>
  </si>
  <si>
    <t>Investments in Associate</t>
  </si>
  <si>
    <t>Property, plant and equipment</t>
  </si>
  <si>
    <t>Agricultural</t>
  </si>
  <si>
    <t>Biological assets</t>
  </si>
  <si>
    <t>Intangible assets</t>
  </si>
  <si>
    <t>Other non-current assets</t>
  </si>
  <si>
    <t>TOTAL ASSETS</t>
  </si>
  <si>
    <t>LIABILITIES</t>
  </si>
  <si>
    <t>Current liabilities</t>
  </si>
  <si>
    <t>Bank overdraft</t>
  </si>
  <si>
    <t>Consumer deposits</t>
  </si>
  <si>
    <t>Trade and other payables</t>
  </si>
  <si>
    <t>Provisions</t>
  </si>
  <si>
    <t>Non current liabilities</t>
  </si>
  <si>
    <t>TOTAL LIABILITIES</t>
  </si>
  <si>
    <t>NET ASSETS</t>
  </si>
  <si>
    <t>COMMUNITY WEALTH/EQUITY</t>
  </si>
  <si>
    <t>Accumulated Surplus/(Deficit)</t>
  </si>
  <si>
    <t>Reserves</t>
  </si>
  <si>
    <t>TOTAL COMMUNITY WEALTH/EQUITY</t>
  </si>
  <si>
    <t>CASH FLOW FROM OPERATING ACTIVITIES</t>
  </si>
  <si>
    <t>Receipts</t>
  </si>
  <si>
    <t>Ratepayers and other</t>
  </si>
  <si>
    <t>.</t>
  </si>
  <si>
    <t>Government - operating</t>
  </si>
  <si>
    <t>Government - capital</t>
  </si>
  <si>
    <t>Interest</t>
  </si>
  <si>
    <t>Dividends</t>
  </si>
  <si>
    <t>Payments</t>
  </si>
  <si>
    <t>Suppliers and employees</t>
  </si>
  <si>
    <t>Transfers and Grants</t>
  </si>
  <si>
    <t>NET CASH FROM/(USED) OPERATING ACTIVITIES</t>
  </si>
  <si>
    <t>CASH FLOWS FROM INVESTING ACTIVITIES</t>
  </si>
  <si>
    <t>Proceeds on disposal of PPE</t>
  </si>
  <si>
    <t>Decrease (Increase) in non-current debtors</t>
  </si>
  <si>
    <t>Decrease (increase) other non-current receivables</t>
  </si>
  <si>
    <t>Decrease (increase) in non-current investments</t>
  </si>
  <si>
    <t>Capital assets</t>
  </si>
  <si>
    <t>NET CASH FROM/(USED) INVESTING ACTIVITIES</t>
  </si>
  <si>
    <t>CASH FLOWS FROM FINANCING ACTIVITIES</t>
  </si>
  <si>
    <t>Short term loans</t>
  </si>
  <si>
    <t>Borrowing long term/refinancing</t>
  </si>
  <si>
    <t>Increase (decrease) in consumer deposits</t>
  </si>
  <si>
    <t>Repayment of borrowing</t>
  </si>
  <si>
    <t>NET CASH FROM/(USED) FINANCING ACTIVITIES</t>
  </si>
  <si>
    <t>NET INCREASE/ (DECREASE) IN CASH HELD</t>
  </si>
  <si>
    <t>Cash/cash equivalents at beginning:</t>
  </si>
  <si>
    <t>Cash/cash equivalents at month/year end:</t>
  </si>
  <si>
    <t>Variance</t>
  </si>
  <si>
    <t>Reasons for material deviations</t>
  </si>
  <si>
    <t>Remedial or corrective steps/remarks</t>
  </si>
  <si>
    <t>Capital Expenditure</t>
  </si>
  <si>
    <t>Financial Position</t>
  </si>
  <si>
    <t>Cash Flow</t>
  </si>
  <si>
    <t>Measureable performance</t>
  </si>
  <si>
    <t>Municipal Entities</t>
  </si>
  <si>
    <t>Description of financial indicator</t>
  </si>
  <si>
    <t>Basis of calculation</t>
  </si>
  <si>
    <t>Borrowing Management</t>
  </si>
  <si>
    <t>Capital Charges to Operating Expenditure</t>
  </si>
  <si>
    <t>Interest &amp; principal paid/Operating Expenditure</t>
  </si>
  <si>
    <t>Borrowed funding of 'own' capital expenditure</t>
  </si>
  <si>
    <t>Borrowings/Capital expenditure excl. transfers and grants</t>
  </si>
  <si>
    <t>Safety of Capital</t>
  </si>
  <si>
    <t>Debt to Equity</t>
  </si>
  <si>
    <t>Loans, Accounts Payable, Overdraft &amp; Tax Provision/ Funds &amp; Reserves</t>
  </si>
  <si>
    <t>Gearing</t>
  </si>
  <si>
    <t>Long Term Borrowing/ Funds &amp; Reserves</t>
  </si>
  <si>
    <t>Liquidity</t>
  </si>
  <si>
    <t>Current Ratio</t>
  </si>
  <si>
    <t>Current assets/current liabilities</t>
  </si>
  <si>
    <t>Liquidity Ratio</t>
  </si>
  <si>
    <t>Monetary Assets/Current Liabilities</t>
  </si>
  <si>
    <t>Revenue Management</t>
  </si>
  <si>
    <t>Annual Debtors Collection Rate 
(Payment Level %)</t>
  </si>
  <si>
    <t>Last 12 Mths Receipts/ Last 12 Mths Billing</t>
  </si>
  <si>
    <t>Outstanding Debtors to Revenue</t>
  </si>
  <si>
    <t>Total Outstanding Debtors to Annual Revenue</t>
  </si>
  <si>
    <t>Longstanding Debtors Recovered</t>
  </si>
  <si>
    <t>Debtors &gt; 12 Mths Recovered/Total Debtors &gt; 
12 Months Old</t>
  </si>
  <si>
    <t>Creditors Management</t>
  </si>
  <si>
    <t>Creditors System Efficiency</t>
  </si>
  <si>
    <t>% of Creditors Paid Within Terms (within MFMA s 65(e))</t>
  </si>
  <si>
    <t>Funding of Provisions</t>
  </si>
  <si>
    <t>Percentage Of Provisions Not Funded</t>
  </si>
  <si>
    <t>Unfunded Provisions/Total Provisions</t>
  </si>
  <si>
    <t>Other Indicators</t>
  </si>
  <si>
    <t>Electricity Distribution Losses</t>
  </si>
  <si>
    <t>% Volume (units purchased and generated less units sold)/units purchased and generated</t>
  </si>
  <si>
    <t>Water Distribution Losses</t>
  </si>
  <si>
    <t>% Volume (units purchased and own source less units sold)/Total units purchased and own source</t>
  </si>
  <si>
    <t>Employee costs/Total Revenue - capital revenue</t>
  </si>
  <si>
    <t>Repairs &amp; Maintenance</t>
  </si>
  <si>
    <t>R&amp;M/Total Revenue - capital revenue</t>
  </si>
  <si>
    <t>Interest &amp; Depreciation</t>
  </si>
  <si>
    <t>I&amp;D/Total Revenue - capital revenue</t>
  </si>
  <si>
    <t>IDP regulation financial viability indicators</t>
  </si>
  <si>
    <t>i. Debt coverage</t>
  </si>
  <si>
    <t>(Total Operating Revenue - Operating Grants)/Debt service payments due within financial year)</t>
  </si>
  <si>
    <t>ii. O/S Service Debtors to Revenue</t>
  </si>
  <si>
    <t>Total outstanding service debtors/annual revenue received for services</t>
  </si>
  <si>
    <t>iii. Cost coverage</t>
  </si>
  <si>
    <t>(Available cash + Investments)/monthly fixed operational expenditure</t>
  </si>
  <si>
    <t>RECEIPTS:</t>
  </si>
  <si>
    <t>1,2</t>
  </si>
  <si>
    <t>Operating Transfers and Grants</t>
  </si>
  <si>
    <t>National Government:</t>
  </si>
  <si>
    <t>Local Government Equitable Share</t>
  </si>
  <si>
    <t xml:space="preserve">Finance Management </t>
  </si>
  <si>
    <t>Municipal Systems Improvement</t>
  </si>
  <si>
    <t>Integrated National Electrification Programme</t>
  </si>
  <si>
    <t>EPWP Incentive</t>
  </si>
  <si>
    <t>MIG PMU Establishment</t>
  </si>
  <si>
    <t>Provincial Government:</t>
  </si>
  <si>
    <t>CoGTA - CFO Salary</t>
  </si>
  <si>
    <t>Other transfers and grants [insert description]</t>
  </si>
  <si>
    <t>District Municipality:</t>
  </si>
  <si>
    <t>[insert description]</t>
  </si>
  <si>
    <t>Other grant providers:</t>
  </si>
  <si>
    <t>Total Operating Transfers and Grants</t>
  </si>
  <si>
    <t>Capital Transfers and Grants</t>
  </si>
  <si>
    <t xml:space="preserve"> Municipal Infrastructure Grant (MIG)</t>
  </si>
  <si>
    <t>Regional Bulk Infrastructure</t>
  </si>
  <si>
    <t xml:space="preserve">Rural Households Infrastructure </t>
  </si>
  <si>
    <t>Department of Human Settlements</t>
  </si>
  <si>
    <t>Department of Water Affairs</t>
  </si>
  <si>
    <t>Total Capital Transfers and Grants</t>
  </si>
  <si>
    <t>TOTAL RECEIPTS OF TRANSFERS &amp; GRANTS</t>
  </si>
  <si>
    <t>EXPENDITURE</t>
  </si>
  <si>
    <t>Operating expenditure of Transfers and Grants</t>
  </si>
  <si>
    <t>Total operating expenditure of Transfers and Grants:</t>
  </si>
  <si>
    <t>Capital expenditure of Transfers and Grants</t>
  </si>
  <si>
    <t>Other capital transfers [insert description]</t>
  </si>
  <si>
    <t>Total capital expenditure of Transfers and Grants</t>
  </si>
  <si>
    <t>TOTAL EXPENDITURE OF TRANSFERS AND GRANTS</t>
  </si>
  <si>
    <t>Month</t>
  </si>
  <si>
    <t>% spend of Original Budget</t>
  </si>
  <si>
    <t>Monthly expenditure performance trend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</si>
  <si>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</si>
  <si>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</si>
  <si>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</si>
  <si>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</si>
  <si>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</si>
  <si>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</si>
  <si>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</si>
  <si>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</si>
  <si>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</si>
  <si>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</si>
  <si>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</si>
  <si>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</si>
  <si>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Capital expenditure</t>
  </si>
  <si>
    <t>NT Code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</si>
  <si>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</si>
  <si>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</si>
  <si>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</si>
  <si>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</si>
  <si>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</si>
  <si>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</si>
  <si>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</si>
  <si>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</si>
  <si>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 xml:space="preserve">Total
</t>
  </si>
  <si>
    <t>Creditors Age Analysis By Customer Type</t>
  </si>
  <si>
    <t>Bulk Electricity</t>
  </si>
  <si>
    <t>0100</t>
  </si>
  <si>
    <t>Bulk Water</t>
  </si>
  <si>
    <t>0200</t>
  </si>
  <si>
    <t>PAYE deductions</t>
  </si>
  <si>
    <t>0300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</si>
  <si>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</si>
  <si>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</si>
  <si>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</si>
  <si>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</si>
  <si>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</si>
  <si>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</si>
  <si>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</si>
  <si>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</si>
  <si>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</si>
  <si>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</si>
  <si>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</si>
  <si>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Total By Customer Type</t>
  </si>
  <si>
    <t>2600</t>
  </si>
  <si>
    <t>Investments by maturity
Name of institution &amp; investment ID</t>
  </si>
  <si>
    <t>Period of Investment</t>
  </si>
  <si>
    <t>Type of Investment</t>
  </si>
  <si>
    <t>Expiry date of investment</t>
  </si>
  <si>
    <t>Accrued interest for the month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</si>
  <si>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</si>
  <si>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Market value at beginning of the month</t>
  </si>
  <si>
    <t>Change in market value</t>
  </si>
  <si>
    <t>Market value at end of the month</t>
  </si>
  <si>
    <t>Yrs/Months</t>
  </si>
  <si>
    <t>Municipality</t>
  </si>
  <si>
    <t>ABSA 9211176952</t>
  </si>
  <si>
    <t>N/A</t>
  </si>
  <si>
    <t>ABSA 9211177843</t>
  </si>
  <si>
    <t>Fnb 62322122574</t>
  </si>
  <si>
    <t>TOTAL INVESTMENTS AND INTEREST</t>
  </si>
  <si>
    <t xml:space="preserve"> </t>
  </si>
  <si>
    <t>Households</t>
  </si>
  <si>
    <t>&gt;181 Dys-</t>
  </si>
  <si>
    <t>Notice acct</t>
  </si>
  <si>
    <t>Cheque acct</t>
  </si>
  <si>
    <t>Movement</t>
  </si>
  <si>
    <t>Billing vs. Receipts</t>
  </si>
  <si>
    <t>Income</t>
  </si>
  <si>
    <t>Expenditure</t>
  </si>
  <si>
    <t>Accelerated Community Infrastructure Programme</t>
  </si>
  <si>
    <t>R'000</t>
  </si>
  <si>
    <t xml:space="preserve">FS195 Phumelela - Table C7 Monthly Budget Statement - Cash Flow  </t>
  </si>
  <si>
    <t>July
Billing</t>
  </si>
  <si>
    <t>July
Receipts</t>
  </si>
  <si>
    <t>August
Billing</t>
  </si>
  <si>
    <t>August
Receipts</t>
  </si>
  <si>
    <t>September
Billing</t>
  </si>
  <si>
    <t>September
Receipts</t>
  </si>
  <si>
    <t>Quarter 1 budget</t>
  </si>
  <si>
    <t>Budget Year 2016/17</t>
  </si>
  <si>
    <t>2015/16</t>
  </si>
  <si>
    <t>July
actual</t>
  </si>
  <si>
    <t>August actual</t>
  </si>
  <si>
    <t>September
actual</t>
  </si>
  <si>
    <t>Quarter 1 actual</t>
  </si>
  <si>
    <t>FS195 Phumelela - Supporting Table SC7 Monthly Budget Statement - transfers and grant expenditure  - M03 September</t>
  </si>
  <si>
    <t>FS195 Phumelela - Supporting Table SC1 Material variance explanations  - M03 September</t>
  </si>
  <si>
    <t>FS195 Phumelela - Table C1 Quarterly Budget Statement Summary - Quarter 1</t>
  </si>
  <si>
    <t>Actual Expenditure</t>
  </si>
  <si>
    <t>Actual Income</t>
  </si>
  <si>
    <t>Total 
over 90 days</t>
  </si>
  <si>
    <t>Actual Bad Debts Written Off against Debtors</t>
  </si>
  <si>
    <t>Impairment - Bad Debts i.t.o Council Policy</t>
  </si>
  <si>
    <t>Debtors Age Analysis By Income Source</t>
  </si>
  <si>
    <t>Trade and Other Receivables from Exchange Transactions - Water</t>
  </si>
  <si>
    <t>Trade and Other Receivables from Exchange Transactions - Electricity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</si>
  <si>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</si>
  <si>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</si>
  <si>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</si>
  <si>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</si>
  <si>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</si>
  <si>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</si>
  <si>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</si>
  <si>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Debtors Age Analysis By Customer Group</t>
  </si>
  <si>
    <t>Organs of State</t>
  </si>
  <si>
    <t>Commercial</t>
  </si>
  <si>
    <t>Total By Customer Group</t>
  </si>
  <si>
    <t>FS195 Phumelela - Table C4 Quarterly Budget Statement - Financial Performance (revenue and expenditure) - Quarter 2</t>
  </si>
  <si>
    <t>October
Budget</t>
  </si>
  <si>
    <t>October
Billing</t>
  </si>
  <si>
    <t>October
Receipts</t>
  </si>
  <si>
    <t>November
Budget</t>
  </si>
  <si>
    <t>November
Billing</t>
  </si>
  <si>
    <t>November
Receipts</t>
  </si>
  <si>
    <t>December
Billing</t>
  </si>
  <si>
    <t>December
Budget</t>
  </si>
  <si>
    <t>December
Receipts</t>
  </si>
  <si>
    <t>Quarter 2 Billings</t>
  </si>
  <si>
    <t>Quarter 2 Receipts</t>
  </si>
  <si>
    <t>Quarter 2 budget</t>
  </si>
  <si>
    <t>Table C5 Quarterly Budget Statement Capital Expenditure (municipal vote, standard classification and funding) - Quarter 2</t>
  </si>
  <si>
    <t>October
actual</t>
  </si>
  <si>
    <t>Novenber actual</t>
  </si>
  <si>
    <t>December
actual</t>
  </si>
  <si>
    <t>Quarter 2 actual</t>
  </si>
  <si>
    <t xml:space="preserve"> Table C6 Monthly Budget Statement - Financial Position - Quarter 2</t>
  </si>
  <si>
    <t>Quarter 2  actual</t>
  </si>
  <si>
    <t xml:space="preserve">October Receipts and payments </t>
  </si>
  <si>
    <t xml:space="preserve">November Receipts and payments </t>
  </si>
  <si>
    <t xml:space="preserve">December Receipts and payments </t>
  </si>
  <si>
    <t>Service Charges</t>
  </si>
  <si>
    <t>Other Revenue</t>
  </si>
  <si>
    <t>Balance as at 31-12-2015</t>
  </si>
  <si>
    <t>Balance as at 31-12-2016</t>
  </si>
  <si>
    <t>FS195 Phumelela - Supporting Table SC2 Monthly Budget Statement - performance indicators   - M06 December</t>
  </si>
  <si>
    <t>FS195 Phumelela - Supporting Table SC3 Monthly Budget Statement - aged debtors - M06 December</t>
  </si>
  <si>
    <t>FS195 Phumelela - Supporting Table SC4 Monthly Budget Statement - aged creditors  - M06 December</t>
  </si>
  <si>
    <t>FS195 Phumelela - Supporting Table SC5 Monthly Budget Statement - investment portfolio  - M06 December</t>
  </si>
  <si>
    <t>FS195 Phumelela - Supporting Table SC6 Monthly Budget Statement - transfers and grant receipts  - M06 December</t>
  </si>
  <si>
    <t>FS195 Phumelela - Supporting Table SC12 Monthly Budget Statement - capital expenditure trend - M06 December</t>
  </si>
  <si>
    <t>2015/16 - totals only</t>
  </si>
  <si>
    <t>Prior year totals for chart (same period)</t>
  </si>
  <si>
    <t>Budgeted 2nd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</si>
</sst>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0.0%"/>
    <numFmt numFmtId="167" formatCode="#,###,;\(#,###,\)"/>
    <numFmt numFmtId="168" formatCode="#,###,,;\(#,###,,\)"/>
    <numFmt numFmtId="169" formatCode="_(* #,##0,,_);_(* \(#,##0,,\);_(* &quot;–&quot;?_);_(@_)"/>
    <numFmt numFmtId="170" formatCode="_(* #,##0,_);_(* \(#,##0,\);_(* &quot;–&quot;?_);_(@_)"/>
    <numFmt numFmtId="171" formatCode="0%;\-0%;_(* &quot;–&quot;?_);_(@_)"/>
    <numFmt numFmtId="172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u/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Franklin Gothic Book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43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23" borderId="7" applyNumberFormat="0" applyFont="0" applyAlignment="0" applyProtection="0"/>
    <xf numFmtId="0" fontId="24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0" fontId="2" fillId="23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39">
    <xf numFmtId="0" fontId="0" fillId="0" borderId="0" xfId="0"/>
    <xf numFmtId="170" fontId="5" fillId="0" borderId="20" xfId="1" applyNumberFormat="1" applyFont="1" applyFill="1" applyBorder="1"/>
    <xf numFmtId="0" fontId="5" fillId="0" borderId="2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indent="1"/>
    </xf>
    <xf numFmtId="170" fontId="6" fillId="0" borderId="20" xfId="1" applyNumberFormat="1" applyFont="1" applyFill="1" applyBorder="1"/>
    <xf numFmtId="0" fontId="6" fillId="0" borderId="39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 wrapText="1"/>
    </xf>
    <xf numFmtId="9" fontId="6" fillId="0" borderId="39" xfId="41" applyFont="1" applyFill="1" applyBorder="1" applyAlignment="1">
      <alignment horizontal="center" vertical="center" wrapText="1"/>
    </xf>
    <xf numFmtId="9" fontId="6" fillId="0" borderId="22" xfId="4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/>
    </xf>
    <xf numFmtId="0" fontId="5" fillId="0" borderId="11" xfId="1" applyNumberFormat="1" applyFont="1" applyFill="1" applyBorder="1" applyAlignment="1">
      <alignment horizontal="left" indent="1"/>
    </xf>
    <xf numFmtId="170" fontId="6" fillId="0" borderId="64" xfId="49" applyNumberFormat="1" applyFont="1" applyFill="1" applyBorder="1"/>
    <xf numFmtId="170" fontId="5" fillId="0" borderId="64" xfId="49" applyNumberFormat="1" applyFont="1" applyBorder="1"/>
    <xf numFmtId="0" fontId="6" fillId="0" borderId="68" xfId="49" applyFont="1" applyBorder="1" applyAlignment="1">
      <alignment horizontal="center"/>
    </xf>
    <xf numFmtId="170" fontId="6" fillId="0" borderId="17" xfId="49" applyNumberFormat="1" applyFont="1" applyFill="1" applyBorder="1"/>
    <xf numFmtId="170" fontId="6" fillId="0" borderId="72" xfId="49" applyNumberFormat="1" applyFont="1" applyFill="1" applyBorder="1"/>
    <xf numFmtId="170" fontId="6" fillId="0" borderId="67" xfId="49" applyNumberFormat="1" applyFont="1" applyFill="1" applyBorder="1"/>
    <xf numFmtId="170" fontId="5" fillId="0" borderId="49" xfId="49" applyNumberFormat="1" applyFont="1" applyFill="1" applyBorder="1" applyProtection="1">
      <protection locked="0"/>
    </xf>
    <xf numFmtId="170" fontId="5" fillId="0" borderId="32" xfId="49" applyNumberFormat="1" applyFont="1" applyFill="1" applyBorder="1" applyProtection="1">
      <protection locked="0"/>
    </xf>
    <xf numFmtId="9" fontId="5" fillId="0" borderId="32" xfId="42" applyFont="1" applyFill="1" applyBorder="1" applyAlignment="1">
      <alignment horizontal="center"/>
    </xf>
    <xf numFmtId="0" fontId="5" fillId="0" borderId="69" xfId="49" applyFont="1" applyBorder="1" applyAlignment="1">
      <alignment horizontal="center"/>
    </xf>
    <xf numFmtId="170" fontId="5" fillId="0" borderId="56" xfId="49" applyNumberFormat="1" applyFont="1" applyFill="1" applyBorder="1" applyProtection="1">
      <protection locked="0"/>
    </xf>
    <xf numFmtId="170" fontId="5" fillId="0" borderId="41" xfId="29" applyNumberFormat="1" applyFont="1" applyFill="1" applyBorder="1" applyProtection="1">
      <protection locked="0"/>
    </xf>
    <xf numFmtId="0" fontId="6" fillId="0" borderId="34" xfId="49" applyNumberFormat="1" applyFont="1" applyFill="1" applyBorder="1" applyAlignment="1">
      <alignment horizontal="left"/>
    </xf>
    <xf numFmtId="167" fontId="6" fillId="0" borderId="42" xfId="49" applyNumberFormat="1" applyFont="1" applyFill="1" applyBorder="1"/>
    <xf numFmtId="170" fontId="5" fillId="0" borderId="42" xfId="29" applyNumberFormat="1" applyFont="1" applyFill="1" applyBorder="1" applyProtection="1">
      <protection locked="0"/>
    </xf>
    <xf numFmtId="170" fontId="6" fillId="0" borderId="69" xfId="49" applyNumberFormat="1" applyFont="1" applyFill="1" applyBorder="1"/>
    <xf numFmtId="170" fontId="6" fillId="0" borderId="74" xfId="49" applyNumberFormat="1" applyFont="1" applyFill="1" applyBorder="1"/>
    <xf numFmtId="170" fontId="6" fillId="0" borderId="68" xfId="49" applyNumberFormat="1" applyFont="1" applyFill="1" applyBorder="1"/>
    <xf numFmtId="0" fontId="6" fillId="0" borderId="69" xfId="49" applyFont="1" applyBorder="1"/>
    <xf numFmtId="0" fontId="5" fillId="0" borderId="68" xfId="49" applyFont="1" applyBorder="1" applyAlignment="1">
      <alignment horizontal="center"/>
    </xf>
    <xf numFmtId="0" fontId="6" fillId="0" borderId="17" xfId="47" applyFont="1" applyFill="1" applyBorder="1" applyAlignment="1">
      <alignment horizontal="center" vertical="top" wrapText="1"/>
    </xf>
    <xf numFmtId="169" fontId="5" fillId="0" borderId="20" xfId="47" applyNumberFormat="1" applyFont="1" applyBorder="1"/>
    <xf numFmtId="169" fontId="5" fillId="0" borderId="21" xfId="47" applyNumberFormat="1" applyFont="1" applyBorder="1"/>
    <xf numFmtId="169" fontId="5" fillId="0" borderId="22" xfId="47" applyNumberFormat="1" applyFont="1" applyBorder="1"/>
    <xf numFmtId="0" fontId="5" fillId="0" borderId="22" xfId="47" applyFont="1" applyFill="1" applyBorder="1" applyAlignment="1">
      <alignment horizontal="center" vertical="center"/>
    </xf>
    <xf numFmtId="0" fontId="6" fillId="0" borderId="39" xfId="47" applyFont="1" applyFill="1" applyBorder="1" applyAlignment="1">
      <alignment horizontal="center" vertical="center" wrapText="1"/>
    </xf>
    <xf numFmtId="0" fontId="8" fillId="0" borderId="35" xfId="47" applyNumberFormat="1" applyFont="1" applyBorder="1"/>
    <xf numFmtId="0" fontId="5" fillId="0" borderId="10" xfId="47" applyNumberFormat="1" applyFont="1" applyBorder="1" applyAlignment="1">
      <alignment horizontal="left" indent="1"/>
    </xf>
    <xf numFmtId="0" fontId="6" fillId="0" borderId="10" xfId="47" applyNumberFormat="1" applyFont="1" applyBorder="1"/>
    <xf numFmtId="0" fontId="5" fillId="0" borderId="17" xfId="47" applyNumberFormat="1" applyFont="1" applyBorder="1"/>
    <xf numFmtId="0" fontId="8" fillId="0" borderId="10" xfId="47" applyNumberFormat="1" applyFont="1" applyBorder="1"/>
    <xf numFmtId="0" fontId="6" fillId="0" borderId="38" xfId="47" applyFont="1" applyFill="1" applyBorder="1" applyAlignment="1">
      <alignment horizontal="center" vertical="center" wrapText="1"/>
    </xf>
    <xf numFmtId="0" fontId="6" fillId="0" borderId="10" xfId="47" applyFont="1" applyFill="1" applyBorder="1" applyAlignment="1">
      <alignment horizontal="center" vertical="center" wrapText="1"/>
    </xf>
    <xf numFmtId="0" fontId="6" fillId="0" borderId="44" xfId="47" applyFont="1" applyFill="1" applyBorder="1" applyAlignment="1">
      <alignment horizontal="center" vertical="center" wrapText="1"/>
    </xf>
    <xf numFmtId="0" fontId="5" fillId="0" borderId="10" xfId="47" applyFont="1" applyFill="1" applyBorder="1"/>
    <xf numFmtId="0" fontId="5" fillId="0" borderId="17" xfId="47" applyFont="1" applyFill="1" applyBorder="1"/>
    <xf numFmtId="0" fontId="6" fillId="0" borderId="17" xfId="47" applyFont="1" applyFill="1" applyBorder="1" applyAlignment="1">
      <alignment horizontal="left" vertical="center"/>
    </xf>
    <xf numFmtId="0" fontId="5" fillId="0" borderId="24" xfId="47" applyFont="1" applyFill="1" applyBorder="1"/>
    <xf numFmtId="0" fontId="5" fillId="0" borderId="20" xfId="47" applyFont="1" applyFill="1" applyBorder="1"/>
    <xf numFmtId="0" fontId="5" fillId="0" borderId="42" xfId="47" applyFont="1" applyFill="1" applyBorder="1"/>
    <xf numFmtId="169" fontId="5" fillId="0" borderId="24" xfId="47" applyNumberFormat="1" applyFont="1" applyBorder="1"/>
    <xf numFmtId="169" fontId="5" fillId="0" borderId="10" xfId="47" applyNumberFormat="1" applyFont="1" applyBorder="1"/>
    <xf numFmtId="168" fontId="5" fillId="0" borderId="17" xfId="47" applyNumberFormat="1" applyFont="1" applyFill="1" applyBorder="1"/>
    <xf numFmtId="0" fontId="6" fillId="0" borderId="47" xfId="47" applyFont="1" applyFill="1" applyBorder="1" applyAlignment="1">
      <alignment horizontal="center" vertical="center" wrapText="1"/>
    </xf>
    <xf numFmtId="9" fontId="5" fillId="0" borderId="20" xfId="42" applyFont="1" applyFill="1" applyBorder="1" applyAlignment="1">
      <alignment horizontal="center"/>
    </xf>
    <xf numFmtId="169" fontId="5" fillId="0" borderId="42" xfId="47" applyNumberFormat="1" applyFont="1" applyBorder="1"/>
    <xf numFmtId="168" fontId="5" fillId="0" borderId="30" xfId="47" applyNumberFormat="1" applyFont="1" applyFill="1" applyBorder="1"/>
    <xf numFmtId="168" fontId="5" fillId="0" borderId="22" xfId="47" applyNumberFormat="1" applyFont="1" applyFill="1" applyBorder="1"/>
    <xf numFmtId="168" fontId="5" fillId="0" borderId="45" xfId="47" applyNumberFormat="1" applyFont="1" applyFill="1" applyBorder="1"/>
    <xf numFmtId="9" fontId="6" fillId="0" borderId="39" xfId="42" applyFont="1" applyFill="1" applyBorder="1" applyAlignment="1">
      <alignment horizontal="center" vertical="center" wrapText="1"/>
    </xf>
    <xf numFmtId="171" fontId="5" fillId="0" borderId="20" xfId="42" applyNumberFormat="1" applyFont="1" applyBorder="1"/>
    <xf numFmtId="171" fontId="5" fillId="0" borderId="32" xfId="42" applyNumberFormat="1" applyFont="1" applyBorder="1"/>
    <xf numFmtId="169" fontId="5" fillId="0" borderId="17" xfId="47" applyNumberFormat="1" applyFont="1" applyBorder="1"/>
    <xf numFmtId="169" fontId="5" fillId="0" borderId="30" xfId="47" applyNumberFormat="1" applyFont="1" applyBorder="1"/>
    <xf numFmtId="171" fontId="5" fillId="0" borderId="22" xfId="42" applyNumberFormat="1" applyFont="1" applyBorder="1"/>
    <xf numFmtId="169" fontId="5" fillId="0" borderId="45" xfId="47" applyNumberFormat="1" applyFont="1" applyBorder="1"/>
    <xf numFmtId="169" fontId="5" fillId="0" borderId="35" xfId="47" applyNumberFormat="1" applyFont="1" applyBorder="1"/>
    <xf numFmtId="169" fontId="5" fillId="0" borderId="23" xfId="47" applyNumberFormat="1" applyFont="1" applyBorder="1"/>
    <xf numFmtId="171" fontId="5" fillId="0" borderId="21" xfId="42" applyNumberFormat="1" applyFont="1" applyBorder="1"/>
    <xf numFmtId="169" fontId="5" fillId="0" borderId="48" xfId="47" applyNumberFormat="1" applyFont="1" applyBorder="1"/>
    <xf numFmtId="169" fontId="5" fillId="24" borderId="20" xfId="47" applyNumberFormat="1" applyFont="1" applyFill="1" applyBorder="1"/>
    <xf numFmtId="169" fontId="5" fillId="24" borderId="22" xfId="47" applyNumberFormat="1" applyFont="1" applyFill="1" applyBorder="1"/>
    <xf numFmtId="171" fontId="5" fillId="24" borderId="20" xfId="42" applyNumberFormat="1" applyFont="1" applyFill="1" applyBorder="1"/>
    <xf numFmtId="171" fontId="5" fillId="24" borderId="22" xfId="42" applyNumberFormat="1" applyFont="1" applyFill="1" applyBorder="1"/>
    <xf numFmtId="0" fontId="5" fillId="0" borderId="30" xfId="47" applyFont="1" applyFill="1" applyBorder="1" applyAlignment="1">
      <alignment horizontal="center" vertical="center"/>
    </xf>
    <xf numFmtId="0" fontId="5" fillId="0" borderId="45" xfId="47" applyFont="1" applyFill="1" applyBorder="1" applyAlignment="1">
      <alignment horizontal="center" vertical="center"/>
    </xf>
    <xf numFmtId="0" fontId="5" fillId="0" borderId="49" xfId="47" applyNumberFormat="1" applyFont="1" applyBorder="1" applyAlignment="1">
      <alignment horizontal="left" indent="1"/>
    </xf>
    <xf numFmtId="9" fontId="6" fillId="0" borderId="22" xfId="42" applyFont="1" applyFill="1" applyBorder="1" applyAlignment="1">
      <alignment horizontal="center" vertical="center"/>
    </xf>
    <xf numFmtId="0" fontId="8" fillId="0" borderId="10" xfId="47" applyFont="1" applyFill="1" applyBorder="1"/>
    <xf numFmtId="0" fontId="4" fillId="0" borderId="13" xfId="47" applyFont="1" applyFill="1" applyBorder="1" applyAlignment="1"/>
    <xf numFmtId="0" fontId="6" fillId="0" borderId="10" xfId="47" applyNumberFormat="1" applyFont="1" applyBorder="1" applyAlignment="1">
      <alignment wrapText="1"/>
    </xf>
    <xf numFmtId="0" fontId="5" fillId="0" borderId="10" xfId="47" applyNumberFormat="1" applyFont="1" applyBorder="1" applyAlignment="1">
      <alignment horizontal="left" wrapText="1" indent="1"/>
    </xf>
    <xf numFmtId="0" fontId="6" fillId="0" borderId="17" xfId="47" applyNumberFormat="1" applyFont="1" applyBorder="1"/>
    <xf numFmtId="171" fontId="6" fillId="0" borderId="32" xfId="42" applyNumberFormat="1" applyFont="1" applyBorder="1"/>
    <xf numFmtId="170" fontId="5" fillId="0" borderId="20" xfId="47" applyNumberFormat="1" applyFont="1" applyFill="1" applyBorder="1" applyProtection="1"/>
    <xf numFmtId="170" fontId="5" fillId="0" borderId="32" xfId="47" applyNumberFormat="1" applyFont="1" applyFill="1" applyBorder="1" applyProtection="1"/>
    <xf numFmtId="0" fontId="5" fillId="0" borderId="10" xfId="47" applyFont="1" applyFill="1" applyBorder="1" applyAlignment="1">
      <alignment horizontal="left" indent="1"/>
    </xf>
    <xf numFmtId="0" fontId="6" fillId="0" borderId="10" xfId="47" applyFont="1" applyFill="1" applyBorder="1" applyAlignment="1">
      <alignment wrapText="1"/>
    </xf>
    <xf numFmtId="0" fontId="6" fillId="0" borderId="10" xfId="47" applyFont="1" applyFill="1" applyBorder="1"/>
    <xf numFmtId="171" fontId="5" fillId="0" borderId="41" xfId="42" applyNumberFormat="1" applyFont="1" applyBorder="1"/>
    <xf numFmtId="169" fontId="6" fillId="24" borderId="20" xfId="47" applyNumberFormat="1" applyFont="1" applyFill="1" applyBorder="1"/>
    <xf numFmtId="171" fontId="6" fillId="24" borderId="20" xfId="42" applyNumberFormat="1" applyFont="1" applyFill="1" applyBorder="1"/>
    <xf numFmtId="170" fontId="6" fillId="0" borderId="20" xfId="47" applyNumberFormat="1" applyFont="1" applyFill="1" applyBorder="1" applyProtection="1"/>
    <xf numFmtId="170" fontId="6" fillId="0" borderId="42" xfId="47" applyNumberFormat="1" applyFont="1" applyFill="1" applyBorder="1" applyProtection="1"/>
    <xf numFmtId="170" fontId="5" fillId="0" borderId="42" xfId="47" applyNumberFormat="1" applyFont="1" applyFill="1" applyBorder="1" applyProtection="1"/>
    <xf numFmtId="170" fontId="5" fillId="0" borderId="10" xfId="47" applyNumberFormat="1" applyFont="1" applyFill="1" applyBorder="1" applyProtection="1"/>
    <xf numFmtId="170" fontId="5" fillId="0" borderId="24" xfId="47" applyNumberFormat="1" applyFont="1" applyFill="1" applyBorder="1" applyProtection="1"/>
    <xf numFmtId="170" fontId="5" fillId="0" borderId="33" xfId="47" applyNumberFormat="1" applyFont="1" applyFill="1" applyBorder="1" applyProtection="1"/>
    <xf numFmtId="170" fontId="5" fillId="0" borderId="49" xfId="47" applyNumberFormat="1" applyFont="1" applyFill="1" applyBorder="1" applyProtection="1"/>
    <xf numFmtId="170" fontId="5" fillId="0" borderId="61" xfId="47" applyNumberFormat="1" applyFont="1" applyFill="1" applyBorder="1" applyProtection="1"/>
    <xf numFmtId="170" fontId="5" fillId="0" borderId="65" xfId="47" applyNumberFormat="1" applyFont="1" applyFill="1" applyBorder="1" applyProtection="1"/>
    <xf numFmtId="170" fontId="5" fillId="0" borderId="46" xfId="47" applyNumberFormat="1" applyFont="1" applyFill="1" applyBorder="1" applyProtection="1"/>
    <xf numFmtId="170" fontId="6" fillId="0" borderId="49" xfId="47" applyNumberFormat="1" applyFont="1" applyFill="1" applyBorder="1" applyProtection="1"/>
    <xf numFmtId="170" fontId="6" fillId="0" borderId="61" xfId="47" applyNumberFormat="1" applyFont="1" applyFill="1" applyBorder="1" applyProtection="1"/>
    <xf numFmtId="170" fontId="6" fillId="0" borderId="32" xfId="47" applyNumberFormat="1" applyFont="1" applyFill="1" applyBorder="1" applyProtection="1"/>
    <xf numFmtId="170" fontId="6" fillId="0" borderId="65" xfId="47" applyNumberFormat="1" applyFont="1" applyFill="1" applyBorder="1" applyProtection="1"/>
    <xf numFmtId="170" fontId="6" fillId="0" borderId="46" xfId="47" applyNumberFormat="1" applyFont="1" applyFill="1" applyBorder="1" applyProtection="1"/>
    <xf numFmtId="170" fontId="6" fillId="0" borderId="10" xfId="47" applyNumberFormat="1" applyFont="1" applyFill="1" applyBorder="1" applyProtection="1"/>
    <xf numFmtId="170" fontId="6" fillId="0" borderId="24" xfId="47" applyNumberFormat="1" applyFont="1" applyFill="1" applyBorder="1" applyProtection="1"/>
    <xf numFmtId="170" fontId="6" fillId="0" borderId="71" xfId="49" applyNumberFormat="1" applyFont="1" applyFill="1" applyBorder="1"/>
    <xf numFmtId="170" fontId="6" fillId="0" borderId="73" xfId="49" applyNumberFormat="1" applyFont="1" applyFill="1" applyBorder="1"/>
    <xf numFmtId="170" fontId="5" fillId="0" borderId="20" xfId="29" applyNumberFormat="1" applyFont="1" applyFill="1" applyBorder="1" applyProtection="1">
      <protection locked="0"/>
    </xf>
    <xf numFmtId="170" fontId="6" fillId="0" borderId="64" xfId="49" applyNumberFormat="1" applyFont="1" applyBorder="1"/>
    <xf numFmtId="0" fontId="5" fillId="0" borderId="64" xfId="49" applyFont="1" applyFill="1" applyBorder="1" applyAlignment="1">
      <alignment horizontal="center"/>
    </xf>
    <xf numFmtId="0" fontId="6" fillId="0" borderId="63" xfId="49" applyFont="1" applyBorder="1" applyAlignment="1">
      <alignment horizontal="left"/>
    </xf>
    <xf numFmtId="0" fontId="6" fillId="0" borderId="15" xfId="49" applyFont="1" applyFill="1" applyBorder="1" applyAlignment="1">
      <alignment horizontal="left" vertical="center"/>
    </xf>
    <xf numFmtId="0" fontId="5" fillId="0" borderId="22" xfId="49" applyFont="1" applyFill="1" applyBorder="1" applyAlignment="1">
      <alignment horizontal="center" vertical="center"/>
    </xf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7" xfId="49" applyFont="1" applyFill="1" applyBorder="1" applyAlignment="1">
      <alignment horizontal="center" vertical="center"/>
    </xf>
    <xf numFmtId="9" fontId="6" fillId="0" borderId="39" xfId="42" applyFont="1" applyFill="1" applyBorder="1" applyAlignment="1">
      <alignment horizontal="center" vertical="center" wrapText="1"/>
    </xf>
    <xf numFmtId="0" fontId="5" fillId="0" borderId="45" xfId="49" applyFont="1" applyFill="1" applyBorder="1" applyAlignment="1">
      <alignment horizontal="center" vertic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5" fillId="0" borderId="22" xfId="49" applyFont="1" applyBorder="1"/>
    <xf numFmtId="9" fontId="6" fillId="0" borderId="22" xfId="42" applyFont="1" applyFill="1" applyBorder="1" applyAlignment="1">
      <alignment horizontal="center" vertical="center"/>
    </xf>
    <xf numFmtId="0" fontId="6" fillId="0" borderId="52" xfId="49" applyFont="1" applyFill="1" applyBorder="1" applyAlignment="1">
      <alignment horizontal="centerContinuous" vertical="center" wrapText="1"/>
    </xf>
    <xf numFmtId="0" fontId="5" fillId="0" borderId="53" xfId="49" applyFont="1" applyBorder="1"/>
    <xf numFmtId="0" fontId="6" fillId="0" borderId="55" xfId="49" applyFont="1" applyFill="1" applyBorder="1" applyAlignment="1">
      <alignment horizontal="center" vertical="center" wrapText="1"/>
    </xf>
    <xf numFmtId="0" fontId="5" fillId="0" borderId="45" xfId="49" applyFont="1" applyBorder="1" applyAlignment="1">
      <alignment horizontal="center"/>
    </xf>
    <xf numFmtId="0" fontId="8" fillId="0" borderId="11" xfId="49" applyFont="1" applyBorder="1"/>
    <xf numFmtId="0" fontId="6" fillId="0" borderId="11" xfId="49" applyFont="1" applyBorder="1" applyAlignment="1">
      <alignment horizontal="left"/>
    </xf>
    <xf numFmtId="0" fontId="5" fillId="0" borderId="11" xfId="49" applyFont="1" applyBorder="1"/>
    <xf numFmtId="170" fontId="5" fillId="0" borderId="20" xfId="49" applyNumberFormat="1" applyFont="1" applyBorder="1"/>
    <xf numFmtId="170" fontId="5" fillId="0" borderId="20" xfId="49" applyNumberFormat="1" applyFont="1" applyFill="1" applyBorder="1"/>
    <xf numFmtId="170" fontId="5" fillId="0" borderId="32" xfId="49" applyNumberFormat="1" applyFont="1" applyFill="1" applyBorder="1"/>
    <xf numFmtId="0" fontId="6" fillId="0" borderId="11" xfId="49" applyFont="1" applyBorder="1" applyAlignment="1">
      <alignment horizontal="left" indent="1"/>
    </xf>
    <xf numFmtId="0" fontId="5" fillId="0" borderId="11" xfId="49" applyFont="1" applyBorder="1" applyAlignment="1">
      <alignment horizontal="left" indent="2"/>
    </xf>
    <xf numFmtId="170" fontId="5" fillId="0" borderId="10" xfId="49" applyNumberFormat="1" applyFont="1" applyBorder="1"/>
    <xf numFmtId="170" fontId="5" fillId="0" borderId="42" xfId="49" applyNumberFormat="1" applyFont="1" applyBorder="1"/>
    <xf numFmtId="0" fontId="5" fillId="0" borderId="10" xfId="49" applyFont="1" applyBorder="1" applyAlignment="1">
      <alignment horizontal="center"/>
    </xf>
    <xf numFmtId="9" fontId="5" fillId="0" borderId="20" xfId="42" applyFont="1" applyFill="1" applyBorder="1" applyAlignment="1">
      <alignment horizontal="center"/>
    </xf>
    <xf numFmtId="0" fontId="5" fillId="0" borderId="49" xfId="49" applyFont="1" applyBorder="1" applyAlignment="1">
      <alignment horizontal="center"/>
    </xf>
    <xf numFmtId="170" fontId="5" fillId="0" borderId="41" xfId="49" applyNumberFormat="1" applyFont="1" applyBorder="1"/>
    <xf numFmtId="0" fontId="6" fillId="0" borderId="63" xfId="49" applyFont="1" applyBorder="1"/>
    <xf numFmtId="9" fontId="5" fillId="0" borderId="20" xfId="42" applyFont="1" applyBorder="1" applyAlignment="1">
      <alignment horizontal="center"/>
    </xf>
    <xf numFmtId="170" fontId="5" fillId="0" borderId="42" xfId="49" applyNumberFormat="1" applyFont="1" applyFill="1" applyBorder="1"/>
    <xf numFmtId="0" fontId="5" fillId="0" borderId="11" xfId="49" applyFont="1" applyFill="1" applyBorder="1" applyAlignment="1" applyProtection="1">
      <alignment horizontal="left" indent="1"/>
    </xf>
    <xf numFmtId="0" fontId="7" fillId="0" borderId="11" xfId="49" applyNumberFormat="1" applyFont="1" applyFill="1" applyBorder="1" applyAlignment="1" applyProtection="1">
      <alignment horizontal="left" indent="1"/>
    </xf>
    <xf numFmtId="0" fontId="5" fillId="0" borderId="11" xfId="49" applyNumberFormat="1" applyFont="1" applyFill="1" applyBorder="1" applyAlignment="1" applyProtection="1">
      <alignment horizontal="left" indent="2"/>
    </xf>
    <xf numFmtId="0" fontId="5" fillId="0" borderId="42" xfId="49" applyFont="1" applyBorder="1" applyAlignment="1">
      <alignment horizontal="center"/>
    </xf>
    <xf numFmtId="0" fontId="5" fillId="0" borderId="42" xfId="49" applyFont="1" applyFill="1" applyBorder="1" applyAlignment="1">
      <alignment horizontal="center"/>
    </xf>
    <xf numFmtId="170" fontId="5" fillId="0" borderId="10" xfId="49" applyNumberFormat="1" applyFont="1" applyFill="1" applyBorder="1"/>
    <xf numFmtId="170" fontId="5" fillId="0" borderId="41" xfId="49" applyNumberFormat="1" applyFont="1" applyFill="1" applyBorder="1"/>
    <xf numFmtId="170" fontId="5" fillId="0" borderId="10" xfId="49" applyNumberFormat="1" applyFont="1" applyFill="1" applyBorder="1" applyProtection="1">
      <protection locked="0"/>
    </xf>
    <xf numFmtId="170" fontId="5" fillId="0" borderId="41" xfId="49" applyNumberFormat="1" applyFont="1" applyFill="1" applyBorder="1" applyProtection="1">
      <protection locked="0"/>
    </xf>
    <xf numFmtId="170" fontId="5" fillId="0" borderId="20" xfId="49" applyNumberFormat="1" applyFont="1" applyFill="1" applyBorder="1" applyProtection="1">
      <protection locked="0"/>
    </xf>
    <xf numFmtId="170" fontId="5" fillId="0" borderId="42" xfId="49" applyNumberFormat="1" applyFont="1" applyFill="1" applyBorder="1" applyProtection="1">
      <protection locked="0"/>
    </xf>
    <xf numFmtId="0" fontId="5" fillId="0" borderId="11" xfId="49" applyFont="1" applyFill="1" applyBorder="1" applyAlignment="1">
      <alignment horizontal="left" indent="2"/>
    </xf>
    <xf numFmtId="170" fontId="6" fillId="0" borderId="41" xfId="49" applyNumberFormat="1" applyFont="1" applyFill="1" applyBorder="1" applyProtection="1"/>
    <xf numFmtId="0" fontId="6" fillId="0" borderId="11" xfId="49" applyFont="1" applyFill="1" applyBorder="1" applyAlignment="1">
      <alignment horizontal="left" indent="1"/>
    </xf>
    <xf numFmtId="41" fontId="5" fillId="0" borderId="34" xfId="49" applyNumberFormat="1" applyFont="1" applyFill="1" applyBorder="1"/>
    <xf numFmtId="0" fontId="6" fillId="0" borderId="23" xfId="49" applyFont="1" applyFill="1" applyBorder="1" applyAlignment="1">
      <alignment horizontal="center"/>
    </xf>
    <xf numFmtId="170" fontId="5" fillId="0" borderId="30" xfId="49" applyNumberFormat="1" applyFont="1" applyFill="1" applyBorder="1"/>
    <xf numFmtId="170" fontId="6" fillId="0" borderId="66" xfId="49" applyNumberFormat="1" applyFont="1" applyFill="1" applyBorder="1"/>
    <xf numFmtId="0" fontId="5" fillId="0" borderId="54" xfId="49" applyFont="1" applyFill="1" applyBorder="1"/>
    <xf numFmtId="0" fontId="8" fillId="0" borderId="11" xfId="49" applyNumberFormat="1" applyFont="1" applyFill="1" applyBorder="1"/>
    <xf numFmtId="0" fontId="5" fillId="0" borderId="11" xfId="49" applyFont="1" applyFill="1" applyBorder="1" applyAlignment="1" applyProtection="1">
      <alignment horizontal="left" indent="2"/>
      <protection locked="0"/>
    </xf>
    <xf numFmtId="170" fontId="6" fillId="0" borderId="47" xfId="49" applyNumberFormat="1" applyFont="1" applyFill="1" applyBorder="1" applyProtection="1">
      <protection locked="0"/>
    </xf>
    <xf numFmtId="41" fontId="5" fillId="0" borderId="10" xfId="49" applyNumberFormat="1" applyFont="1" applyFill="1" applyBorder="1" applyProtection="1">
      <protection locked="0"/>
    </xf>
    <xf numFmtId="170" fontId="6" fillId="0" borderId="44" xfId="49" applyNumberFormat="1" applyFont="1" applyFill="1" applyBorder="1" applyProtection="1">
      <protection locked="0"/>
    </xf>
    <xf numFmtId="0" fontId="6" fillId="0" borderId="36" xfId="49" applyNumberFormat="1" applyFont="1" applyFill="1" applyBorder="1" applyAlignment="1">
      <alignment horizontal="left"/>
    </xf>
    <xf numFmtId="0" fontId="6" fillId="0" borderId="70" xfId="49" applyFont="1" applyFill="1" applyBorder="1"/>
    <xf numFmtId="0" fontId="5" fillId="0" borderId="49" xfId="49" applyFont="1" applyFill="1" applyBorder="1" applyAlignment="1">
      <alignment horizontal="center"/>
    </xf>
    <xf numFmtId="0" fontId="8" fillId="0" borderId="11" xfId="49" applyFont="1" applyFill="1" applyBorder="1"/>
    <xf numFmtId="167" fontId="5" fillId="0" borderId="42" xfId="49" applyNumberFormat="1" applyFont="1" applyFill="1" applyBorder="1"/>
    <xf numFmtId="167" fontId="5" fillId="0" borderId="41" xfId="49" applyNumberFormat="1" applyFont="1" applyFill="1" applyBorder="1"/>
    <xf numFmtId="0" fontId="6" fillId="0" borderId="48" xfId="49" applyFont="1" applyFill="1" applyBorder="1" applyAlignment="1">
      <alignment horizontal="center"/>
    </xf>
    <xf numFmtId="0" fontId="5" fillId="0" borderId="35" xfId="49" applyFont="1" applyFill="1" applyBorder="1" applyAlignment="1">
      <alignment horizontal="center"/>
    </xf>
    <xf numFmtId="0" fontId="5" fillId="0" borderId="22" xfId="49" applyFont="1" applyFill="1" applyBorder="1"/>
    <xf numFmtId="0" fontId="5" fillId="0" borderId="17" xfId="49" applyFont="1" applyFill="1" applyBorder="1" applyAlignment="1">
      <alignment horizontal="center"/>
    </xf>
    <xf numFmtId="0" fontId="6" fillId="0" borderId="63" xfId="49" applyFont="1" applyFill="1" applyBorder="1"/>
    <xf numFmtId="0" fontId="10" fillId="0" borderId="10" xfId="49" applyFont="1" applyFill="1" applyBorder="1" applyAlignment="1">
      <alignment horizontal="center"/>
    </xf>
    <xf numFmtId="0" fontId="6" fillId="0" borderId="15" xfId="49" applyFont="1" applyFill="1" applyBorder="1"/>
    <xf numFmtId="0" fontId="5" fillId="0" borderId="32" xfId="49" applyFont="1" applyFill="1" applyBorder="1"/>
    <xf numFmtId="0" fontId="5" fillId="0" borderId="30" xfId="49" applyFont="1" applyFill="1" applyBorder="1"/>
    <xf numFmtId="170" fontId="5" fillId="0" borderId="24" xfId="49" applyNumberFormat="1" applyFont="1" applyFill="1" applyBorder="1"/>
    <xf numFmtId="170" fontId="5" fillId="0" borderId="22" xfId="49" applyNumberFormat="1" applyFont="1" applyFill="1" applyBorder="1"/>
    <xf numFmtId="41" fontId="5" fillId="0" borderId="62" xfId="49" applyNumberFormat="1" applyFont="1" applyFill="1" applyBorder="1" applyProtection="1">
      <protection locked="0"/>
    </xf>
    <xf numFmtId="0" fontId="5" fillId="0" borderId="0" xfId="49" applyFont="1" applyFill="1" applyProtection="1">
      <protection locked="0"/>
    </xf>
    <xf numFmtId="0" fontId="5" fillId="0" borderId="69" xfId="49" applyFont="1" applyFill="1" applyBorder="1" applyAlignment="1">
      <alignment horizontal="center"/>
    </xf>
    <xf numFmtId="0" fontId="5" fillId="0" borderId="50" xfId="49" applyFont="1" applyFill="1" applyBorder="1" applyAlignment="1">
      <alignment horizontal="center"/>
    </xf>
    <xf numFmtId="167" fontId="5" fillId="0" borderId="20" xfId="49" applyNumberFormat="1" applyFont="1" applyFill="1" applyBorder="1"/>
    <xf numFmtId="0" fontId="6" fillId="0" borderId="35" xfId="49" applyFont="1" applyFill="1" applyBorder="1" applyAlignment="1">
      <alignment horizontal="center"/>
    </xf>
    <xf numFmtId="0" fontId="6" fillId="0" borderId="57" xfId="49" applyFont="1" applyFill="1" applyBorder="1" applyAlignment="1">
      <alignment horizontal="center"/>
    </xf>
    <xf numFmtId="0" fontId="8" fillId="0" borderId="14" xfId="49" applyFont="1" applyFill="1" applyBorder="1"/>
    <xf numFmtId="0" fontId="5" fillId="0" borderId="53" xfId="49" applyFont="1" applyFill="1" applyBorder="1"/>
    <xf numFmtId="0" fontId="6" fillId="0" borderId="15" xfId="49" applyFont="1" applyFill="1" applyBorder="1" applyAlignment="1">
      <alignment horizontal="left" vertical="center"/>
    </xf>
    <xf numFmtId="170" fontId="5" fillId="0" borderId="20" xfId="49" applyNumberFormat="1" applyFont="1" applyFill="1" applyBorder="1"/>
    <xf numFmtId="0" fontId="5" fillId="0" borderId="22" xfId="49" applyFont="1" applyFill="1" applyBorder="1" applyAlignment="1">
      <alignment horizontal="center" vertical="center"/>
    </xf>
    <xf numFmtId="0" fontId="5" fillId="0" borderId="11" xfId="49" applyFont="1" applyFill="1" applyBorder="1" applyAlignment="1">
      <alignment horizontal="left" indent="1"/>
    </xf>
    <xf numFmtId="0" fontId="6" fillId="0" borderId="11" xfId="49" applyFont="1" applyFill="1" applyBorder="1"/>
    <xf numFmtId="0" fontId="5" fillId="0" borderId="11" xfId="49" applyFont="1" applyFill="1" applyBorder="1"/>
    <xf numFmtId="0" fontId="6" fillId="0" borderId="35" xfId="49" applyFont="1" applyFill="1" applyBorder="1" applyAlignment="1">
      <alignment horizontal="center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0" fontId="5" fillId="0" borderId="17" xfId="49" applyFont="1" applyFill="1" applyBorder="1" applyAlignment="1">
      <alignment horizontal="center" vertical="center"/>
    </xf>
    <xf numFmtId="0" fontId="5" fillId="0" borderId="45" xfId="49" applyFont="1" applyFill="1" applyBorder="1" applyAlignment="1">
      <alignment horizontal="center" vertic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5" xfId="49" applyFont="1" applyFill="1" applyBorder="1" applyAlignment="1">
      <alignment horizontal="center" vertical="center" wrapText="1"/>
    </xf>
    <xf numFmtId="170" fontId="5" fillId="0" borderId="42" xfId="49" applyNumberFormat="1" applyFont="1" applyFill="1" applyBorder="1"/>
    <xf numFmtId="167" fontId="5" fillId="0" borderId="10" xfId="49" applyNumberFormat="1" applyFont="1" applyFill="1" applyBorder="1"/>
    <xf numFmtId="170" fontId="5" fillId="0" borderId="10" xfId="49" applyNumberFormat="1" applyFont="1" applyFill="1" applyBorder="1"/>
    <xf numFmtId="170" fontId="5" fillId="0" borderId="41" xfId="49" applyNumberFormat="1" applyFont="1" applyFill="1" applyBorder="1"/>
    <xf numFmtId="170" fontId="5" fillId="0" borderId="10" xfId="49" applyNumberFormat="1" applyFont="1" applyFill="1" applyBorder="1" applyProtection="1">
      <protection locked="0"/>
    </xf>
    <xf numFmtId="170" fontId="5" fillId="0" borderId="20" xfId="49" applyNumberFormat="1" applyFont="1" applyFill="1" applyBorder="1" applyProtection="1">
      <protection locked="0"/>
    </xf>
    <xf numFmtId="170" fontId="5" fillId="0" borderId="42" xfId="49" applyNumberFormat="1" applyFont="1" applyFill="1" applyBorder="1" applyProtection="1">
      <protection locked="0"/>
    </xf>
    <xf numFmtId="0" fontId="6" fillId="0" borderId="21" xfId="49" applyFont="1" applyFill="1" applyBorder="1" applyAlignment="1">
      <alignment horizontal="center"/>
    </xf>
    <xf numFmtId="170" fontId="6" fillId="0" borderId="22" xfId="49" applyNumberFormat="1" applyFont="1" applyFill="1" applyBorder="1"/>
    <xf numFmtId="170" fontId="6" fillId="0" borderId="45" xfId="49" applyNumberFormat="1" applyFont="1" applyFill="1" applyBorder="1"/>
    <xf numFmtId="170" fontId="6" fillId="0" borderId="53" xfId="49" applyNumberFormat="1" applyFont="1" applyFill="1" applyBorder="1"/>
    <xf numFmtId="41" fontId="5" fillId="0" borderId="49" xfId="49" applyNumberFormat="1" applyFont="1" applyFill="1" applyBorder="1"/>
    <xf numFmtId="167" fontId="6" fillId="0" borderId="20" xfId="49" applyNumberFormat="1" applyFont="1" applyFill="1" applyBorder="1"/>
    <xf numFmtId="41" fontId="5" fillId="0" borderId="10" xfId="49" applyNumberFormat="1" applyFont="1" applyFill="1" applyBorder="1"/>
    <xf numFmtId="0" fontId="0" fillId="0" borderId="0" xfId="0" applyFill="1"/>
    <xf numFmtId="0" fontId="5" fillId="0" borderId="62" xfId="49" applyFont="1" applyFill="1" applyBorder="1" applyAlignment="1">
      <alignment horizontal="center"/>
    </xf>
    <xf numFmtId="41" fontId="6" fillId="0" borderId="50" xfId="49" applyNumberFormat="1" applyFont="1" applyFill="1" applyBorder="1"/>
    <xf numFmtId="170" fontId="5" fillId="0" borderId="45" xfId="49" applyNumberFormat="1" applyFont="1" applyFill="1" applyBorder="1"/>
    <xf numFmtId="170" fontId="5" fillId="0" borderId="17" xfId="49" applyNumberFormat="1" applyFont="1" applyFill="1" applyBorder="1"/>
    <xf numFmtId="167" fontId="5" fillId="0" borderId="24" xfId="49" applyNumberFormat="1" applyFont="1" applyFill="1" applyBorder="1"/>
    <xf numFmtId="0" fontId="6" fillId="0" borderId="14" xfId="49" applyFont="1" applyFill="1" applyBorder="1"/>
    <xf numFmtId="0" fontId="6" fillId="0" borderId="15" xfId="49" applyFont="1" applyFill="1" applyBorder="1" applyAlignment="1">
      <alignment horizontal="left" vertical="center"/>
    </xf>
    <xf numFmtId="170" fontId="5" fillId="0" borderId="20" xfId="49" applyNumberFormat="1" applyFont="1" applyFill="1" applyBorder="1"/>
    <xf numFmtId="0" fontId="5" fillId="0" borderId="22" xfId="49" applyFont="1" applyFill="1" applyBorder="1" applyAlignment="1">
      <alignment horizontal="center" vertical="center"/>
    </xf>
    <xf numFmtId="0" fontId="5" fillId="0" borderId="11" xfId="49" applyFont="1" applyFill="1" applyBorder="1" applyAlignment="1">
      <alignment horizontal="left" indent="1"/>
    </xf>
    <xf numFmtId="0" fontId="6" fillId="0" borderId="11" xfId="49" applyFont="1" applyFill="1" applyBorder="1"/>
    <xf numFmtId="0" fontId="5" fillId="0" borderId="11" xfId="49" applyFont="1" applyFill="1" applyBorder="1"/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0" fontId="5" fillId="0" borderId="17" xfId="49" applyFont="1" applyFill="1" applyBorder="1" applyAlignment="1">
      <alignment horizontal="center" vertical="center"/>
    </xf>
    <xf numFmtId="0" fontId="6" fillId="0" borderId="47" xfId="49" applyFont="1" applyFill="1" applyBorder="1" applyAlignment="1">
      <alignment horizontal="center" vertical="center" wrapText="1"/>
    </xf>
    <xf numFmtId="9" fontId="5" fillId="0" borderId="20" xfId="42" applyFont="1" applyFill="1" applyBorder="1" applyAlignment="1">
      <alignment horizontal="center"/>
    </xf>
    <xf numFmtId="9" fontId="6" fillId="0" borderId="39" xfId="42" applyFont="1" applyFill="1" applyBorder="1" applyAlignment="1">
      <alignment horizontal="center" vertical="center" wrapText="1"/>
    </xf>
    <xf numFmtId="0" fontId="5" fillId="0" borderId="45" xfId="49" applyFont="1" applyFill="1" applyBorder="1" applyAlignment="1">
      <alignment horizontal="center" vertic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9" fontId="6" fillId="0" borderId="22" xfId="42" applyFont="1" applyFill="1" applyBorder="1" applyAlignment="1">
      <alignment horizontal="center" vertical="center"/>
    </xf>
    <xf numFmtId="0" fontId="6" fillId="0" borderId="52" xfId="49" applyFont="1" applyFill="1" applyBorder="1" applyAlignment="1">
      <alignment horizontal="centerContinuous" vertical="center" wrapText="1"/>
    </xf>
    <xf numFmtId="0" fontId="5" fillId="0" borderId="15" xfId="49" applyFont="1" applyFill="1" applyBorder="1" applyAlignment="1">
      <alignment horizontal="left" indent="1"/>
    </xf>
    <xf numFmtId="170" fontId="5" fillId="0" borderId="42" xfId="49" applyNumberFormat="1" applyFont="1" applyFill="1" applyBorder="1"/>
    <xf numFmtId="167" fontId="5" fillId="0" borderId="10" xfId="49" applyNumberFormat="1" applyFont="1" applyFill="1" applyBorder="1"/>
    <xf numFmtId="170" fontId="5" fillId="0" borderId="10" xfId="49" applyNumberFormat="1" applyFont="1" applyFill="1" applyBorder="1"/>
    <xf numFmtId="170" fontId="5" fillId="0" borderId="10" xfId="49" applyNumberFormat="1" applyFont="1" applyFill="1" applyBorder="1" applyProtection="1">
      <protection locked="0"/>
    </xf>
    <xf numFmtId="170" fontId="5" fillId="0" borderId="20" xfId="49" applyNumberFormat="1" applyFont="1" applyFill="1" applyBorder="1" applyProtection="1">
      <protection locked="0"/>
    </xf>
    <xf numFmtId="170" fontId="5" fillId="0" borderId="42" xfId="49" applyNumberFormat="1" applyFont="1" applyFill="1" applyBorder="1" applyProtection="1">
      <protection locked="0"/>
    </xf>
    <xf numFmtId="170" fontId="5" fillId="0" borderId="24" xfId="49" applyNumberFormat="1" applyFont="1" applyFill="1" applyBorder="1" applyProtection="1">
      <protection locked="0"/>
    </xf>
    <xf numFmtId="0" fontId="6" fillId="0" borderId="21" xfId="49" applyFont="1" applyFill="1" applyBorder="1" applyAlignment="1">
      <alignment horizontal="center"/>
    </xf>
    <xf numFmtId="0" fontId="6" fillId="0" borderId="25" xfId="49" applyNumberFormat="1" applyFont="1" applyFill="1" applyBorder="1" applyAlignment="1">
      <alignment vertical="center"/>
    </xf>
    <xf numFmtId="0" fontId="6" fillId="0" borderId="31" xfId="49" applyNumberFormat="1" applyFont="1" applyFill="1" applyBorder="1" applyAlignment="1">
      <alignment vertical="center"/>
    </xf>
    <xf numFmtId="41" fontId="6" fillId="0" borderId="62" xfId="49" applyNumberFormat="1" applyFont="1" applyFill="1" applyBorder="1"/>
    <xf numFmtId="41" fontId="6" fillId="0" borderId="10" xfId="49" applyNumberFormat="1" applyFont="1" applyFill="1" applyBorder="1"/>
    <xf numFmtId="0" fontId="6" fillId="0" borderId="12" xfId="49" applyFont="1" applyFill="1" applyBorder="1" applyAlignment="1">
      <alignment horizontal="center" vertical="center" wrapText="1"/>
    </xf>
    <xf numFmtId="0" fontId="5" fillId="0" borderId="16" xfId="49" applyFont="1" applyBorder="1"/>
    <xf numFmtId="0" fontId="6" fillId="0" borderId="15" xfId="49" applyFont="1" applyFill="1" applyBorder="1" applyAlignment="1">
      <alignment horizontal="left" vertical="center"/>
    </xf>
    <xf numFmtId="0" fontId="5" fillId="0" borderId="17" xfId="49" applyFont="1" applyBorder="1" applyAlignment="1">
      <alignment horizontal="center"/>
    </xf>
    <xf numFmtId="0" fontId="5" fillId="0" borderId="17" xfId="49" applyFont="1" applyBorder="1"/>
    <xf numFmtId="0" fontId="6" fillId="0" borderId="10" xfId="49" applyFont="1" applyFill="1" applyBorder="1" applyAlignment="1">
      <alignment horizontal="center" vertical="center" wrapText="1"/>
    </xf>
    <xf numFmtId="0" fontId="5" fillId="0" borderId="10" xfId="49" applyFont="1" applyBorder="1" applyAlignment="1">
      <alignment horizontal="center"/>
    </xf>
    <xf numFmtId="0" fontId="5" fillId="0" borderId="35" xfId="49" applyFont="1" applyBorder="1"/>
    <xf numFmtId="0" fontId="8" fillId="0" borderId="35" xfId="49" applyFont="1" applyBorder="1"/>
    <xf numFmtId="0" fontId="5" fillId="0" borderId="35" xfId="49" applyFont="1" applyBorder="1" applyAlignment="1">
      <alignment horizontal="center"/>
    </xf>
    <xf numFmtId="0" fontId="5" fillId="0" borderId="17" xfId="49" applyFont="1" applyFill="1" applyBorder="1" applyAlignment="1">
      <alignment horizontal="center" vertical="center"/>
    </xf>
    <xf numFmtId="0" fontId="6" fillId="0" borderId="35" xfId="49" applyFont="1" applyFill="1" applyBorder="1" applyAlignment="1">
      <alignment horizontal="centerContinuous" vertical="center" wrapText="1"/>
    </xf>
    <xf numFmtId="0" fontId="6" fillId="0" borderId="59" xfId="49" applyFont="1" applyFill="1" applyBorder="1" applyAlignment="1">
      <alignment horizontal="centerContinuous" vertical="center" wrapText="1"/>
    </xf>
    <xf numFmtId="0" fontId="8" fillId="0" borderId="10" xfId="49" applyFont="1" applyBorder="1" applyProtection="1"/>
    <xf numFmtId="0" fontId="5" fillId="0" borderId="10" xfId="49" applyFont="1" applyBorder="1" applyProtection="1"/>
    <xf numFmtId="0" fontId="5" fillId="0" borderId="10" xfId="49" applyFont="1" applyBorder="1" applyAlignment="1" applyProtection="1">
      <alignment horizontal="center"/>
    </xf>
    <xf numFmtId="170" fontId="5" fillId="25" borderId="10" xfId="49" applyNumberFormat="1" applyFont="1" applyFill="1" applyBorder="1" applyProtection="1">
      <protection locked="0"/>
    </xf>
    <xf numFmtId="0" fontId="5" fillId="25" borderId="10" xfId="49" applyFont="1" applyFill="1" applyBorder="1" applyProtection="1">
      <protection locked="0"/>
    </xf>
    <xf numFmtId="0" fontId="5" fillId="25" borderId="17" xfId="49" applyFont="1" applyFill="1" applyBorder="1" applyProtection="1">
      <protection locked="0"/>
    </xf>
    <xf numFmtId="170" fontId="5" fillId="25" borderId="17" xfId="49" applyNumberFormat="1" applyFont="1" applyFill="1" applyBorder="1" applyProtection="1">
      <protection locked="0"/>
    </xf>
    <xf numFmtId="0" fontId="6" fillId="0" borderId="15" xfId="49" applyFont="1" applyFill="1" applyBorder="1" applyAlignment="1">
      <alignment horizontal="left" vertical="center"/>
    </xf>
    <xf numFmtId="0" fontId="5" fillId="0" borderId="22" xfId="49" applyFont="1" applyFill="1" applyBorder="1" applyAlignment="1">
      <alignment horizontal="center" vertical="center"/>
    </xf>
    <xf numFmtId="166" fontId="5" fillId="0" borderId="10" xfId="42" applyNumberFormat="1" applyFont="1" applyFill="1" applyBorder="1" applyAlignment="1">
      <alignment horizontal="center" vertical="top" wrapText="1"/>
    </xf>
    <xf numFmtId="0" fontId="6" fillId="0" borderId="18" xfId="49" applyFont="1" applyFill="1" applyBorder="1" applyAlignment="1">
      <alignment horizontal="centerContinuous" vertical="center" wrapText="1"/>
    </xf>
    <xf numFmtId="0" fontId="5" fillId="0" borderId="17" xfId="49" applyFont="1" applyFill="1" applyBorder="1" applyAlignment="1">
      <alignment horizontal="center" vertical="center"/>
    </xf>
    <xf numFmtId="0" fontId="5" fillId="0" borderId="45" xfId="49" applyFont="1" applyFill="1" applyBorder="1" applyAlignment="1">
      <alignment horizontal="center" vertical="center"/>
    </xf>
    <xf numFmtId="166" fontId="5" fillId="0" borderId="42" xfId="42" applyNumberFormat="1" applyFont="1" applyFill="1" applyBorder="1" applyAlignment="1">
      <alignment horizontal="center" vertical="top" wrapText="1"/>
    </xf>
    <xf numFmtId="166" fontId="5" fillId="0" borderId="41" xfId="42" applyNumberFormat="1" applyFont="1" applyFill="1" applyBorder="1" applyAlignment="1">
      <alignment horizontal="center" vertical="top" wrapText="1"/>
    </xf>
    <xf numFmtId="0" fontId="6" fillId="0" borderId="62" xfId="49" applyFont="1" applyFill="1" applyBorder="1" applyAlignment="1">
      <alignment horizontal="center" vertical="center" wrapText="1"/>
    </xf>
    <xf numFmtId="166" fontId="5" fillId="0" borderId="10" xfId="42" applyNumberFormat="1" applyFont="1" applyFill="1" applyBorder="1" applyAlignment="1" applyProtection="1">
      <alignment horizontal="center" vertical="top" wrapText="1"/>
    </xf>
    <xf numFmtId="166" fontId="5" fillId="0" borderId="41" xfId="42" applyNumberFormat="1" applyFont="1" applyFill="1" applyBorder="1" applyAlignment="1" applyProtection="1">
      <alignment horizontal="center" vertical="top" wrapText="1"/>
    </xf>
    <xf numFmtId="166" fontId="5" fillId="0" borderId="20" xfId="42" applyNumberFormat="1" applyFont="1" applyFill="1" applyBorder="1" applyAlignment="1" applyProtection="1">
      <alignment horizontal="center" vertical="top" wrapText="1"/>
    </xf>
    <xf numFmtId="166" fontId="5" fillId="0" borderId="42" xfId="42" applyNumberFormat="1" applyFont="1" applyFill="1" applyBorder="1" applyAlignment="1" applyProtection="1">
      <alignment horizontal="center" vertical="top" wrapText="1"/>
    </xf>
    <xf numFmtId="0" fontId="5" fillId="0" borderId="33" xfId="49" applyFont="1" applyFill="1" applyBorder="1" applyAlignment="1">
      <alignment horizontal="left" vertical="top" wrapText="1"/>
    </xf>
    <xf numFmtId="167" fontId="6" fillId="0" borderId="24" xfId="49" applyNumberFormat="1" applyFont="1" applyFill="1" applyBorder="1"/>
    <xf numFmtId="0" fontId="5" fillId="0" borderId="61" xfId="49" applyFont="1" applyFill="1" applyBorder="1"/>
    <xf numFmtId="0" fontId="5" fillId="0" borderId="11" xfId="49" applyFont="1" applyFill="1" applyBorder="1"/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167" fontId="6" fillId="0" borderId="10" xfId="49" applyNumberFormat="1" applyFont="1" applyFill="1" applyBorder="1"/>
    <xf numFmtId="0" fontId="6" fillId="0" borderId="47" xfId="49" applyFont="1" applyFill="1" applyBorder="1" applyAlignment="1">
      <alignment horizontal="center" vertical="center" wrapText="1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4" xfId="49" applyFont="1" applyFill="1" applyBorder="1" applyAlignment="1">
      <alignment horizontal="left" vertical="center"/>
    </xf>
    <xf numFmtId="0" fontId="5" fillId="0" borderId="49" xfId="49" applyFont="1" applyFill="1" applyBorder="1" applyAlignment="1">
      <alignment horizontal="center" vertical="center"/>
    </xf>
    <xf numFmtId="0" fontId="5" fillId="0" borderId="32" xfId="49" applyFont="1" applyFill="1" applyBorder="1" applyAlignment="1">
      <alignment horizontal="center" vertical="center"/>
    </xf>
    <xf numFmtId="0" fontId="5" fillId="0" borderId="46" xfId="49" applyFont="1" applyFill="1" applyBorder="1" applyAlignment="1">
      <alignment horizontal="center" vertical="center"/>
    </xf>
    <xf numFmtId="0" fontId="5" fillId="0" borderId="34" xfId="49" applyFont="1" applyFill="1" applyBorder="1" applyAlignment="1">
      <alignment horizontal="center"/>
    </xf>
    <xf numFmtId="0" fontId="6" fillId="0" borderId="11" xfId="49" applyFont="1" applyFill="1" applyBorder="1" applyAlignment="1">
      <alignment horizontal="left" indent="1"/>
    </xf>
    <xf numFmtId="170" fontId="6" fillId="0" borderId="44" xfId="49" applyNumberFormat="1" applyFont="1" applyFill="1" applyBorder="1"/>
    <xf numFmtId="170" fontId="6" fillId="0" borderId="47" xfId="49" applyNumberFormat="1" applyFont="1" applyFill="1" applyBorder="1"/>
    <xf numFmtId="170" fontId="5" fillId="0" borderId="61" xfId="49" applyNumberFormat="1" applyFont="1" applyFill="1" applyBorder="1" applyProtection="1">
      <protection locked="0"/>
    </xf>
    <xf numFmtId="170" fontId="5" fillId="0" borderId="39" xfId="49" applyNumberFormat="1" applyFont="1" applyFill="1" applyBorder="1"/>
    <xf numFmtId="0" fontId="8" fillId="0" borderId="36" xfId="49" applyFont="1" applyFill="1" applyBorder="1"/>
    <xf numFmtId="0" fontId="5" fillId="0" borderId="11" xfId="49" applyNumberFormat="1" applyFont="1" applyFill="1" applyBorder="1"/>
    <xf numFmtId="170" fontId="6" fillId="0" borderId="42" xfId="49" applyNumberFormat="1" applyFont="1" applyFill="1" applyBorder="1" applyProtection="1">
      <protection locked="0"/>
    </xf>
    <xf numFmtId="170" fontId="6" fillId="0" borderId="46" xfId="49" applyNumberFormat="1" applyFont="1" applyFill="1" applyBorder="1" applyProtection="1">
      <protection locked="0"/>
    </xf>
    <xf numFmtId="0" fontId="6" fillId="0" borderId="34" xfId="49" applyFont="1" applyFill="1" applyBorder="1" applyAlignment="1">
      <alignment horizontal="center"/>
    </xf>
    <xf numFmtId="170" fontId="6" fillId="0" borderId="39" xfId="49" applyNumberFormat="1" applyFont="1" applyFill="1" applyBorder="1" applyProtection="1">
      <protection locked="0"/>
    </xf>
    <xf numFmtId="170" fontId="6" fillId="0" borderId="62" xfId="49" applyNumberFormat="1" applyFont="1" applyFill="1" applyBorder="1" applyProtection="1">
      <protection locked="0"/>
    </xf>
    <xf numFmtId="170" fontId="5" fillId="0" borderId="46" xfId="49" applyNumberFormat="1" applyFont="1" applyFill="1" applyBorder="1" applyProtection="1">
      <protection locked="0"/>
    </xf>
    <xf numFmtId="170" fontId="6" fillId="0" borderId="62" xfId="49" applyNumberFormat="1" applyFont="1" applyFill="1" applyBorder="1"/>
    <xf numFmtId="170" fontId="5" fillId="0" borderId="44" xfId="49" applyNumberFormat="1" applyFont="1" applyFill="1" applyBorder="1" applyProtection="1">
      <protection locked="0"/>
    </xf>
    <xf numFmtId="170" fontId="5" fillId="0" borderId="62" xfId="49" applyNumberFormat="1" applyFont="1" applyFill="1" applyBorder="1" applyProtection="1">
      <protection locked="0"/>
    </xf>
    <xf numFmtId="0" fontId="5" fillId="0" borderId="56" xfId="49" applyFont="1" applyFill="1" applyBorder="1"/>
    <xf numFmtId="170" fontId="5" fillId="0" borderId="20" xfId="49" applyNumberFormat="1" applyFont="1" applyFill="1" applyBorder="1"/>
    <xf numFmtId="0" fontId="5" fillId="0" borderId="11" xfId="49" applyFont="1" applyFill="1" applyBorder="1"/>
    <xf numFmtId="166" fontId="5" fillId="0" borderId="20" xfId="42" applyNumberFormat="1" applyFont="1" applyFill="1" applyBorder="1" applyAlignment="1">
      <alignment horizontal="center" vertical="top" wrapText="1"/>
    </xf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9" fontId="6" fillId="0" borderId="39" xfId="42" applyFont="1" applyFill="1" applyBorder="1" applyAlignment="1">
      <alignment horizontal="center" vertical="center" wrapText="1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5" xfId="49" applyFont="1" applyFill="1" applyBorder="1" applyAlignment="1">
      <alignment horizontal="center" vertical="center" wrapText="1"/>
    </xf>
    <xf numFmtId="0" fontId="6" fillId="0" borderId="54" xfId="49" applyFont="1" applyFill="1" applyBorder="1" applyAlignment="1">
      <alignment horizontal="left" vertical="center"/>
    </xf>
    <xf numFmtId="0" fontId="5" fillId="0" borderId="49" xfId="49" applyFont="1" applyFill="1" applyBorder="1" applyAlignment="1">
      <alignment horizontal="center" vertical="center"/>
    </xf>
    <xf numFmtId="0" fontId="5" fillId="0" borderId="32" xfId="49" applyFont="1" applyFill="1" applyBorder="1" applyAlignment="1">
      <alignment horizontal="center" vertical="center"/>
    </xf>
    <xf numFmtId="9" fontId="6" fillId="0" borderId="32" xfId="42" applyFont="1" applyFill="1" applyBorder="1" applyAlignment="1">
      <alignment horizontal="center" vertical="center"/>
    </xf>
    <xf numFmtId="0" fontId="5" fillId="0" borderId="46" xfId="49" applyFont="1" applyFill="1" applyBorder="1" applyAlignment="1">
      <alignment horizontal="center" vertical="center"/>
    </xf>
    <xf numFmtId="166" fontId="6" fillId="0" borderId="20" xfId="42" applyNumberFormat="1" applyFont="1" applyFill="1" applyBorder="1" applyAlignment="1">
      <alignment horizontal="center" wrapText="1"/>
    </xf>
    <xf numFmtId="170" fontId="5" fillId="0" borderId="42" xfId="49" applyNumberFormat="1" applyFont="1" applyFill="1" applyBorder="1"/>
    <xf numFmtId="0" fontId="5" fillId="0" borderId="11" xfId="49" quotePrefix="1" applyFont="1" applyFill="1" applyBorder="1" applyAlignment="1">
      <alignment horizontal="left" indent="2"/>
    </xf>
    <xf numFmtId="0" fontId="6" fillId="0" borderId="11" xfId="49" quotePrefix="1" applyFont="1" applyFill="1" applyBorder="1" applyAlignment="1">
      <alignment horizontal="left" indent="1"/>
    </xf>
    <xf numFmtId="0" fontId="9" fillId="0" borderId="11" xfId="49" quotePrefix="1" applyFont="1" applyFill="1" applyBorder="1" applyAlignment="1">
      <alignment horizontal="left" indent="2"/>
    </xf>
    <xf numFmtId="170" fontId="5" fillId="0" borderId="10" xfId="49" applyNumberFormat="1" applyFont="1" applyFill="1" applyBorder="1"/>
    <xf numFmtId="170" fontId="5" fillId="0" borderId="10" xfId="49" applyNumberFormat="1" applyFont="1" applyFill="1" applyBorder="1" applyProtection="1">
      <protection locked="0"/>
    </xf>
    <xf numFmtId="170" fontId="5" fillId="0" borderId="20" xfId="49" applyNumberFormat="1" applyFont="1" applyFill="1" applyBorder="1" applyProtection="1">
      <protection locked="0"/>
    </xf>
    <xf numFmtId="170" fontId="5" fillId="0" borderId="42" xfId="49" applyNumberFormat="1" applyFont="1" applyFill="1" applyBorder="1" applyProtection="1">
      <protection locked="0"/>
    </xf>
    <xf numFmtId="170" fontId="6" fillId="0" borderId="34" xfId="49" applyNumberFormat="1" applyFont="1" applyFill="1" applyBorder="1"/>
    <xf numFmtId="170" fontId="5" fillId="0" borderId="24" xfId="49" applyNumberFormat="1" applyFont="1" applyFill="1" applyBorder="1" applyProtection="1">
      <protection locked="0"/>
    </xf>
    <xf numFmtId="170" fontId="5" fillId="0" borderId="39" xfId="49" applyNumberFormat="1" applyFont="1" applyFill="1" applyBorder="1" applyProtection="1">
      <protection locked="0"/>
    </xf>
    <xf numFmtId="170" fontId="5" fillId="0" borderId="47" xfId="49" applyNumberFormat="1" applyFont="1" applyFill="1" applyBorder="1" applyProtection="1">
      <protection locked="0"/>
    </xf>
    <xf numFmtId="166" fontId="5" fillId="0" borderId="39" xfId="42" applyNumberFormat="1" applyFont="1" applyFill="1" applyBorder="1" applyAlignment="1">
      <alignment horizontal="center" vertical="top" wrapText="1"/>
    </xf>
    <xf numFmtId="166" fontId="6" fillId="0" borderId="39" xfId="42" applyNumberFormat="1" applyFont="1" applyFill="1" applyBorder="1" applyAlignment="1">
      <alignment horizontal="center" vertical="top" wrapText="1"/>
    </xf>
    <xf numFmtId="170" fontId="6" fillId="0" borderId="10" xfId="49" applyNumberFormat="1" applyFont="1" applyFill="1" applyBorder="1"/>
    <xf numFmtId="170" fontId="6" fillId="0" borderId="24" xfId="49" applyNumberFormat="1" applyFont="1" applyFill="1" applyBorder="1"/>
    <xf numFmtId="170" fontId="6" fillId="0" borderId="39" xfId="49" applyNumberFormat="1" applyFont="1" applyFill="1" applyBorder="1"/>
    <xf numFmtId="170" fontId="6" fillId="0" borderId="50" xfId="49" applyNumberFormat="1" applyFont="1" applyFill="1" applyBorder="1"/>
    <xf numFmtId="0" fontId="6" fillId="0" borderId="11" xfId="49" applyFont="1" applyFill="1" applyBorder="1" applyAlignment="1">
      <alignment horizontal="left" indent="1"/>
    </xf>
    <xf numFmtId="0" fontId="5" fillId="0" borderId="11" xfId="49" quotePrefix="1" applyFont="1" applyFill="1" applyBorder="1" applyAlignment="1">
      <alignment horizontal="left" vertical="top" indent="1"/>
    </xf>
    <xf numFmtId="0" fontId="8" fillId="0" borderId="11" xfId="49" applyFont="1" applyBorder="1"/>
    <xf numFmtId="0" fontId="5" fillId="0" borderId="11" xfId="49" applyFont="1" applyBorder="1" applyAlignment="1">
      <alignment horizontal="left" indent="1"/>
    </xf>
    <xf numFmtId="170" fontId="5" fillId="0" borderId="20" xfId="49" applyNumberFormat="1" applyFont="1" applyBorder="1"/>
    <xf numFmtId="170" fontId="6" fillId="0" borderId="22" xfId="49" applyNumberFormat="1" applyFont="1" applyBorder="1"/>
    <xf numFmtId="0" fontId="6" fillId="0" borderId="15" xfId="49" applyFont="1" applyBorder="1"/>
    <xf numFmtId="166" fontId="5" fillId="0" borderId="20" xfId="42" applyNumberFormat="1" applyFont="1" applyFill="1" applyBorder="1" applyAlignment="1">
      <alignment horizontal="center" vertical="top" wrapText="1"/>
    </xf>
    <xf numFmtId="170" fontId="5" fillId="0" borderId="10" xfId="49" applyNumberFormat="1" applyFont="1" applyBorder="1"/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170" fontId="5" fillId="0" borderId="42" xfId="49" applyNumberFormat="1" applyFont="1" applyBorder="1"/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9" fontId="6" fillId="0" borderId="39" xfId="42" applyFont="1" applyFill="1" applyBorder="1" applyAlignment="1">
      <alignment horizontal="center" vertical="center" wrapText="1"/>
    </xf>
    <xf numFmtId="170" fontId="6" fillId="0" borderId="45" xfId="49" applyNumberFormat="1" applyFont="1" applyBorder="1"/>
    <xf numFmtId="170" fontId="6" fillId="0" borderId="17" xfId="49" applyNumberFormat="1" applyFont="1" applyBorder="1"/>
    <xf numFmtId="0" fontId="5" fillId="0" borderId="54" xfId="49" applyFont="1" applyBorder="1" applyAlignment="1">
      <alignment horizontal="left" indent="1"/>
    </xf>
    <xf numFmtId="0" fontId="6" fillId="0" borderId="55" xfId="49" applyFont="1" applyFill="1" applyBorder="1" applyAlignment="1">
      <alignment horizontal="center" vertical="center" wrapText="1"/>
    </xf>
    <xf numFmtId="170" fontId="5" fillId="0" borderId="41" xfId="49" applyNumberFormat="1" applyFont="1" applyBorder="1"/>
    <xf numFmtId="170" fontId="6" fillId="0" borderId="53" xfId="49" applyNumberFormat="1" applyFont="1" applyBorder="1"/>
    <xf numFmtId="0" fontId="6" fillId="0" borderId="54" xfId="49" applyFont="1" applyFill="1" applyBorder="1" applyAlignment="1">
      <alignment horizontal="left" vertical="center"/>
    </xf>
    <xf numFmtId="0" fontId="5" fillId="0" borderId="49" xfId="49" applyFont="1" applyFill="1" applyBorder="1" applyAlignment="1">
      <alignment horizontal="center" vertical="center"/>
    </xf>
    <xf numFmtId="0" fontId="5" fillId="0" borderId="32" xfId="49" applyFont="1" applyBorder="1"/>
    <xf numFmtId="0" fontId="5" fillId="0" borderId="32" xfId="49" applyFont="1" applyFill="1" applyBorder="1" applyAlignment="1">
      <alignment horizontal="center" vertical="center"/>
    </xf>
    <xf numFmtId="9" fontId="6" fillId="0" borderId="32" xfId="42" applyFont="1" applyFill="1" applyBorder="1" applyAlignment="1">
      <alignment horizontal="center" vertical="center"/>
    </xf>
    <xf numFmtId="0" fontId="5" fillId="0" borderId="46" xfId="49" applyFont="1" applyFill="1" applyBorder="1" applyAlignment="1">
      <alignment horizontal="center" vertical="center"/>
    </xf>
    <xf numFmtId="0" fontId="5" fillId="0" borderId="56" xfId="49" applyFont="1" applyBorder="1"/>
    <xf numFmtId="170" fontId="6" fillId="24" borderId="22" xfId="49" applyNumberFormat="1" applyFont="1" applyFill="1" applyBorder="1"/>
    <xf numFmtId="170" fontId="5" fillId="0" borderId="20" xfId="49" applyNumberFormat="1" applyFont="1" applyFill="1" applyBorder="1" applyProtection="1"/>
    <xf numFmtId="166" fontId="6" fillId="24" borderId="22" xfId="42" applyNumberFormat="1" applyFont="1" applyFill="1" applyBorder="1" applyAlignment="1">
      <alignment horizontal="center" vertical="top" wrapText="1"/>
    </xf>
    <xf numFmtId="9" fontId="5" fillId="0" borderId="42" xfId="42" applyFont="1" applyFill="1" applyBorder="1" applyAlignment="1" applyProtection="1">
      <alignment horizontal="center"/>
    </xf>
    <xf numFmtId="170" fontId="5" fillId="0" borderId="20" xfId="49" applyNumberFormat="1" applyFont="1" applyFill="1" applyBorder="1"/>
    <xf numFmtId="170" fontId="6" fillId="0" borderId="20" xfId="49" applyNumberFormat="1" applyFont="1" applyFill="1" applyBorder="1"/>
    <xf numFmtId="166" fontId="5" fillId="0" borderId="20" xfId="42" applyNumberFormat="1" applyFont="1" applyFill="1" applyBorder="1" applyAlignment="1">
      <alignment horizontal="center" vertical="top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5" xfId="49" applyFont="1" applyFill="1" applyBorder="1" applyAlignment="1">
      <alignment horizontal="center" vertical="center" wrapText="1"/>
    </xf>
    <xf numFmtId="170" fontId="5" fillId="0" borderId="20" xfId="49" applyNumberFormat="1" applyFont="1" applyFill="1" applyBorder="1" applyProtection="1">
      <protection locked="0"/>
    </xf>
    <xf numFmtId="170" fontId="6" fillId="0" borderId="42" xfId="49" applyNumberFormat="1" applyFont="1" applyFill="1" applyBorder="1"/>
    <xf numFmtId="0" fontId="5" fillId="0" borderId="45" xfId="1" applyFont="1" applyFill="1" applyBorder="1" applyAlignment="1">
      <alignment horizontal="center"/>
    </xf>
    <xf numFmtId="0" fontId="8" fillId="0" borderId="14" xfId="1" applyFont="1" applyFill="1" applyBorder="1"/>
    <xf numFmtId="0" fontId="5" fillId="0" borderId="48" xfId="1" applyFont="1" applyFill="1" applyBorder="1" applyAlignment="1">
      <alignment horizontal="center"/>
    </xf>
    <xf numFmtId="0" fontId="6" fillId="0" borderId="35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6" fillId="0" borderId="48" xfId="1" applyFont="1" applyFill="1" applyBorder="1" applyAlignment="1">
      <alignment horizontal="center"/>
    </xf>
    <xf numFmtId="170" fontId="5" fillId="0" borderId="10" xfId="1" applyNumberFormat="1" applyFont="1" applyFill="1" applyBorder="1" applyProtection="1">
      <protection locked="0"/>
    </xf>
    <xf numFmtId="170" fontId="5" fillId="0" borderId="20" xfId="1" applyNumberFormat="1" applyFont="1" applyFill="1" applyBorder="1" applyProtection="1">
      <protection locked="0"/>
    </xf>
    <xf numFmtId="170" fontId="5" fillId="0" borderId="42" xfId="1" applyNumberFormat="1" applyFont="1" applyFill="1" applyBorder="1" applyProtection="1">
      <protection locked="0"/>
    </xf>
    <xf numFmtId="0" fontId="6" fillId="0" borderId="31" xfId="1" applyNumberFormat="1" applyFont="1" applyFill="1" applyBorder="1" applyAlignment="1">
      <alignment horizontal="left" wrapText="1"/>
    </xf>
    <xf numFmtId="0" fontId="5" fillId="0" borderId="43" xfId="1" applyFont="1" applyFill="1" applyBorder="1" applyAlignment="1">
      <alignment horizontal="center"/>
    </xf>
    <xf numFmtId="170" fontId="6" fillId="0" borderId="50" xfId="1" applyNumberFormat="1" applyFont="1" applyFill="1" applyBorder="1" applyAlignment="1">
      <alignment vertical="top"/>
    </xf>
    <xf numFmtId="0" fontId="5" fillId="0" borderId="11" xfId="1" applyFont="1" applyFill="1" applyBorder="1"/>
    <xf numFmtId="170" fontId="5" fillId="0" borderId="10" xfId="1" applyNumberFormat="1" applyFont="1" applyFill="1" applyBorder="1"/>
    <xf numFmtId="170" fontId="5" fillId="0" borderId="24" xfId="1" applyNumberFormat="1" applyFont="1" applyFill="1" applyBorder="1"/>
    <xf numFmtId="170" fontId="5" fillId="0" borderId="42" xfId="1" applyNumberFormat="1" applyFont="1" applyFill="1" applyBorder="1"/>
    <xf numFmtId="0" fontId="8" fillId="0" borderId="11" xfId="1" applyFont="1" applyFill="1" applyBorder="1"/>
    <xf numFmtId="0" fontId="10" fillId="0" borderId="42" xfId="1" applyFont="1" applyFill="1" applyBorder="1" applyAlignment="1">
      <alignment horizontal="center"/>
    </xf>
    <xf numFmtId="170" fontId="5" fillId="0" borderId="24" xfId="1" applyNumberFormat="1" applyFont="1" applyFill="1" applyBorder="1" applyProtection="1">
      <protection locked="0"/>
    </xf>
    <xf numFmtId="0" fontId="6" fillId="0" borderId="31" xfId="1" applyFont="1" applyFill="1" applyBorder="1"/>
    <xf numFmtId="0" fontId="6" fillId="0" borderId="43" xfId="1" applyFont="1" applyFill="1" applyBorder="1" applyAlignment="1">
      <alignment horizontal="center"/>
    </xf>
    <xf numFmtId="170" fontId="6" fillId="0" borderId="50" xfId="1" applyNumberFormat="1" applyFont="1" applyFill="1" applyBorder="1"/>
    <xf numFmtId="0" fontId="6" fillId="0" borderId="11" xfId="1" applyFont="1" applyFill="1" applyBorder="1"/>
    <xf numFmtId="170" fontId="6" fillId="0" borderId="10" xfId="1" applyNumberFormat="1" applyFont="1" applyFill="1" applyBorder="1"/>
    <xf numFmtId="170" fontId="5" fillId="0" borderId="61" xfId="1" applyNumberFormat="1" applyFont="1" applyFill="1" applyBorder="1" applyProtection="1">
      <protection locked="0"/>
    </xf>
    <xf numFmtId="170" fontId="5" fillId="0" borderId="32" xfId="1" applyNumberFormat="1" applyFont="1" applyFill="1" applyBorder="1" applyProtection="1">
      <protection locked="0"/>
    </xf>
    <xf numFmtId="0" fontId="6" fillId="0" borderId="11" xfId="1" applyFont="1" applyFill="1" applyBorder="1" applyAlignment="1">
      <alignment vertical="top" wrapText="1"/>
    </xf>
    <xf numFmtId="0" fontId="5" fillId="0" borderId="42" xfId="1" applyFont="1" applyFill="1" applyBorder="1" applyAlignment="1">
      <alignment horizontal="center" vertical="top"/>
    </xf>
    <xf numFmtId="170" fontId="6" fillId="0" borderId="10" xfId="1" applyNumberFormat="1" applyFont="1" applyFill="1" applyBorder="1" applyAlignment="1">
      <alignment vertical="top"/>
    </xf>
    <xf numFmtId="170" fontId="5" fillId="0" borderId="32" xfId="1" applyNumberFormat="1" applyFont="1" applyFill="1" applyBorder="1"/>
    <xf numFmtId="0" fontId="6" fillId="0" borderId="11" xfId="1" applyNumberFormat="1" applyFont="1" applyFill="1" applyBorder="1" applyAlignment="1">
      <alignment wrapText="1"/>
    </xf>
    <xf numFmtId="0" fontId="5" fillId="0" borderId="20" xfId="1" applyFont="1" applyFill="1" applyBorder="1" applyAlignment="1">
      <alignment horizontal="center"/>
    </xf>
    <xf numFmtId="170" fontId="6" fillId="0" borderId="44" xfId="1" applyNumberFormat="1" applyFont="1" applyFill="1" applyBorder="1" applyAlignment="1">
      <alignment vertical="top"/>
    </xf>
    <xf numFmtId="0" fontId="5" fillId="0" borderId="54" xfId="1" applyFont="1" applyFill="1" applyBorder="1" applyAlignment="1">
      <alignment horizontal="left" wrapText="1" indent="1"/>
    </xf>
    <xf numFmtId="0" fontId="5" fillId="0" borderId="46" xfId="1" applyFont="1" applyFill="1" applyBorder="1" applyAlignment="1">
      <alignment horizontal="center"/>
    </xf>
    <xf numFmtId="170" fontId="5" fillId="0" borderId="49" xfId="1" applyNumberFormat="1" applyFont="1" applyFill="1" applyBorder="1" applyProtection="1">
      <protection locked="0"/>
    </xf>
    <xf numFmtId="0" fontId="6" fillId="0" borderId="15" xfId="1" applyFont="1" applyFill="1" applyBorder="1"/>
    <xf numFmtId="170" fontId="6" fillId="0" borderId="17" xfId="1" applyNumberFormat="1" applyFont="1" applyFill="1" applyBorder="1"/>
    <xf numFmtId="0" fontId="6" fillId="0" borderId="37" xfId="0" applyFont="1" applyFill="1" applyBorder="1" applyAlignment="1">
      <alignment horizontal="centerContinuous" vertical="center" wrapText="1"/>
    </xf>
    <xf numFmtId="0" fontId="6" fillId="0" borderId="18" xfId="0" applyFont="1" applyFill="1" applyBorder="1" applyAlignment="1">
      <alignment horizontal="centerContinuous"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11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41" xfId="0" applyFont="1" applyFill="1" applyBorder="1"/>
    <xf numFmtId="0" fontId="5" fillId="0" borderId="20" xfId="0" applyFont="1" applyFill="1" applyBorder="1"/>
    <xf numFmtId="0" fontId="5" fillId="0" borderId="42" xfId="0" applyFont="1" applyFill="1" applyBorder="1"/>
    <xf numFmtId="0" fontId="5" fillId="0" borderId="10" xfId="0" applyFont="1" applyFill="1" applyBorder="1"/>
    <xf numFmtId="0" fontId="5" fillId="0" borderId="11" xfId="0" applyFont="1" applyFill="1" applyBorder="1" applyAlignment="1">
      <alignment horizontal="left" indent="1"/>
    </xf>
    <xf numFmtId="41" fontId="5" fillId="0" borderId="41" xfId="0" applyNumberFormat="1" applyFont="1" applyFill="1" applyBorder="1" applyProtection="1">
      <protection locked="0"/>
    </xf>
    <xf numFmtId="41" fontId="5" fillId="0" borderId="20" xfId="0" applyNumberFormat="1" applyFont="1" applyFill="1" applyBorder="1" applyProtection="1">
      <protection locked="0"/>
    </xf>
    <xf numFmtId="41" fontId="5" fillId="0" borderId="42" xfId="0" applyNumberFormat="1" applyFont="1" applyFill="1" applyBorder="1" applyProtection="1">
      <protection locked="0"/>
    </xf>
    <xf numFmtId="41" fontId="6" fillId="0" borderId="10" xfId="0" applyNumberFormat="1" applyFont="1" applyFill="1" applyBorder="1"/>
    <xf numFmtId="0" fontId="6" fillId="0" borderId="25" xfId="0" applyFont="1" applyFill="1" applyBorder="1"/>
    <xf numFmtId="0" fontId="6" fillId="0" borderId="3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top" wrapText="1"/>
    </xf>
    <xf numFmtId="170" fontId="5" fillId="0" borderId="24" xfId="0" applyNumberFormat="1" applyFont="1" applyFill="1" applyBorder="1" applyProtection="1">
      <protection locked="0"/>
    </xf>
    <xf numFmtId="170" fontId="5" fillId="0" borderId="20" xfId="0" applyNumberFormat="1" applyFont="1" applyFill="1" applyBorder="1" applyProtection="1">
      <protection locked="0"/>
    </xf>
    <xf numFmtId="170" fontId="5" fillId="0" borderId="42" xfId="0" applyNumberFormat="1" applyFont="1" applyFill="1" applyBorder="1" applyProtection="1">
      <protection locked="0"/>
    </xf>
    <xf numFmtId="166" fontId="5" fillId="0" borderId="20" xfId="51" applyNumberFormat="1" applyFont="1" applyFill="1" applyBorder="1" applyAlignment="1" applyProtection="1">
      <alignment horizontal="center" vertical="top" wrapText="1"/>
      <protection locked="0"/>
    </xf>
    <xf numFmtId="0" fontId="8" fillId="0" borderId="11" xfId="0" applyNumberFormat="1" applyFont="1" applyFill="1" applyBorder="1"/>
    <xf numFmtId="0" fontId="5" fillId="0" borderId="11" xfId="0" applyFont="1" applyFill="1" applyBorder="1" applyProtection="1">
      <protection locked="0"/>
    </xf>
    <xf numFmtId="0" fontId="6" fillId="0" borderId="34" xfId="0" applyNumberFormat="1" applyFont="1" applyFill="1" applyBorder="1"/>
    <xf numFmtId="0" fontId="5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/>
    </xf>
    <xf numFmtId="170" fontId="5" fillId="0" borderId="10" xfId="0" applyNumberFormat="1" applyFont="1" applyFill="1" applyBorder="1"/>
    <xf numFmtId="170" fontId="5" fillId="0" borderId="24" xfId="0" applyNumberFormat="1" applyFont="1" applyFill="1" applyBorder="1"/>
    <xf numFmtId="170" fontId="5" fillId="0" borderId="20" xfId="0" applyNumberFormat="1" applyFont="1" applyFill="1" applyBorder="1"/>
    <xf numFmtId="170" fontId="5" fillId="0" borderId="33" xfId="0" applyNumberFormat="1" applyFont="1" applyFill="1" applyBorder="1"/>
    <xf numFmtId="170" fontId="5" fillId="0" borderId="12" xfId="0" applyNumberFormat="1" applyFont="1" applyFill="1" applyBorder="1"/>
    <xf numFmtId="170" fontId="5" fillId="0" borderId="12" xfId="0" applyNumberFormat="1" applyFont="1" applyFill="1" applyBorder="1" applyProtection="1">
      <protection locked="0"/>
    </xf>
    <xf numFmtId="0" fontId="8" fillId="0" borderId="14" xfId="49" applyFont="1" applyFill="1" applyBorder="1" applyAlignment="1">
      <alignment horizontal="left" wrapText="1"/>
    </xf>
    <xf numFmtId="0" fontId="5" fillId="0" borderId="14" xfId="49" applyFont="1" applyFill="1" applyBorder="1" applyAlignment="1">
      <alignment horizontal="left" vertical="top" wrapText="1"/>
    </xf>
    <xf numFmtId="0" fontId="5" fillId="0" borderId="35" xfId="49" applyFont="1" applyFill="1" applyBorder="1" applyAlignment="1">
      <alignment horizontal="left" vertical="top" wrapText="1"/>
    </xf>
    <xf numFmtId="9" fontId="5" fillId="0" borderId="35" xfId="49" applyNumberFormat="1" applyFont="1" applyFill="1" applyBorder="1" applyAlignment="1" applyProtection="1">
      <alignment horizontal="center" vertical="top"/>
      <protection locked="0"/>
    </xf>
    <xf numFmtId="9" fontId="5" fillId="0" borderId="57" xfId="49" applyNumberFormat="1" applyFont="1" applyFill="1" applyBorder="1" applyAlignment="1">
      <alignment horizontal="center" vertical="top"/>
    </xf>
    <xf numFmtId="9" fontId="5" fillId="0" borderId="21" xfId="49" applyNumberFormat="1" applyFont="1" applyFill="1" applyBorder="1" applyAlignment="1">
      <alignment horizontal="center" vertical="top"/>
    </xf>
    <xf numFmtId="9" fontId="5" fillId="0" borderId="48" xfId="49" applyNumberFormat="1" applyFont="1" applyFill="1" applyBorder="1" applyAlignment="1">
      <alignment horizontal="center" vertical="top"/>
    </xf>
    <xf numFmtId="0" fontId="5" fillId="0" borderId="11" xfId="49" applyFont="1" applyFill="1" applyBorder="1" applyAlignment="1">
      <alignment horizontal="left" vertical="top" wrapText="1" indent="1"/>
    </xf>
    <xf numFmtId="0" fontId="5" fillId="0" borderId="11" xfId="49" applyFont="1" applyFill="1" applyBorder="1" applyAlignment="1">
      <alignment horizontal="left" vertical="top" wrapText="1"/>
    </xf>
    <xf numFmtId="0" fontId="5" fillId="0" borderId="10" xfId="49" applyFont="1" applyFill="1" applyBorder="1" applyAlignment="1">
      <alignment horizontal="left" vertical="top" wrapText="1"/>
    </xf>
    <xf numFmtId="0" fontId="8" fillId="0" borderId="11" xfId="49" applyFont="1" applyFill="1" applyBorder="1" applyAlignment="1">
      <alignment horizontal="left" wrapText="1"/>
    </xf>
    <xf numFmtId="166" fontId="5" fillId="0" borderId="10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41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20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42" xfId="42" applyNumberFormat="1" applyFont="1" applyFill="1" applyBorder="1" applyAlignment="1" applyProtection="1">
      <alignment horizontal="center" vertical="top" wrapText="1"/>
      <protection locked="0"/>
    </xf>
    <xf numFmtId="0" fontId="5" fillId="0" borderId="10" xfId="49" applyFont="1" applyFill="1" applyBorder="1" applyAlignment="1">
      <alignment horizontal="center" vertical="top"/>
    </xf>
    <xf numFmtId="0" fontId="8" fillId="0" borderId="11" xfId="49" applyFont="1" applyFill="1" applyBorder="1" applyAlignment="1">
      <alignment horizontal="left" vertical="top"/>
    </xf>
    <xf numFmtId="0" fontId="8" fillId="0" borderId="11" xfId="49" applyFont="1" applyFill="1" applyBorder="1" applyAlignment="1">
      <alignment horizontal="left" vertical="top" wrapText="1"/>
    </xf>
    <xf numFmtId="0" fontId="8" fillId="0" borderId="10" xfId="49" applyFont="1" applyFill="1" applyBorder="1" applyAlignment="1">
      <alignment horizontal="left" vertical="top" wrapText="1"/>
    </xf>
    <xf numFmtId="0" fontId="5" fillId="0" borderId="15" xfId="49" applyFont="1" applyFill="1" applyBorder="1" applyAlignment="1">
      <alignment horizontal="left" vertical="top" wrapText="1" indent="1"/>
    </xf>
    <xf numFmtId="0" fontId="5" fillId="0" borderId="15" xfId="49" applyFont="1" applyFill="1" applyBorder="1" applyAlignment="1">
      <alignment horizontal="left" vertical="top" wrapText="1"/>
    </xf>
    <xf numFmtId="0" fontId="5" fillId="0" borderId="17" xfId="49" applyFont="1" applyFill="1" applyBorder="1" applyAlignment="1">
      <alignment horizontal="left" vertical="top" wrapText="1"/>
    </xf>
    <xf numFmtId="166" fontId="5" fillId="0" borderId="17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53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22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45" xfId="42" applyNumberFormat="1" applyFont="1" applyFill="1" applyBorder="1" applyAlignment="1" applyProtection="1">
      <alignment horizontal="center" vertical="top" wrapText="1"/>
      <protection locked="0"/>
    </xf>
    <xf numFmtId="0" fontId="6" fillId="0" borderId="55" xfId="47" applyFont="1" applyFill="1" applyBorder="1" applyAlignment="1">
      <alignment horizontal="center" vertical="center" wrapText="1"/>
    </xf>
    <xf numFmtId="0" fontId="5" fillId="0" borderId="53" xfId="47" applyFont="1" applyFill="1" applyBorder="1" applyAlignment="1">
      <alignment horizontal="center" vertical="center"/>
    </xf>
    <xf numFmtId="0" fontId="5" fillId="0" borderId="41" xfId="47" applyFont="1" applyFill="1" applyBorder="1"/>
    <xf numFmtId="170" fontId="5" fillId="0" borderId="41" xfId="47" applyNumberFormat="1" applyFont="1" applyFill="1" applyBorder="1" applyProtection="1"/>
    <xf numFmtId="170" fontId="5" fillId="0" borderId="56" xfId="47" applyNumberFormat="1" applyFont="1" applyFill="1" applyBorder="1" applyProtection="1"/>
    <xf numFmtId="170" fontId="6" fillId="0" borderId="56" xfId="47" applyNumberFormat="1" applyFont="1" applyFill="1" applyBorder="1" applyProtection="1"/>
    <xf numFmtId="170" fontId="6" fillId="0" borderId="41" xfId="47" applyNumberFormat="1" applyFont="1" applyFill="1" applyBorder="1" applyProtection="1"/>
    <xf numFmtId="169" fontId="5" fillId="0" borderId="53" xfId="47" applyNumberFormat="1" applyFont="1" applyBorder="1"/>
    <xf numFmtId="169" fontId="5" fillId="0" borderId="57" xfId="47" applyNumberFormat="1" applyFont="1" applyBorder="1"/>
    <xf numFmtId="169" fontId="5" fillId="0" borderId="41" xfId="47" applyNumberFormat="1" applyFont="1" applyBorder="1"/>
    <xf numFmtId="168" fontId="5" fillId="0" borderId="53" xfId="47" applyNumberFormat="1" applyFont="1" applyFill="1" applyBorder="1"/>
    <xf numFmtId="169" fontId="5" fillId="0" borderId="20" xfId="47" applyNumberFormat="1" applyFont="1" applyFill="1" applyBorder="1"/>
    <xf numFmtId="169" fontId="6" fillId="0" borderId="20" xfId="47" applyNumberFormat="1" applyFont="1" applyFill="1" applyBorder="1"/>
    <xf numFmtId="169" fontId="5" fillId="0" borderId="22" xfId="47" applyNumberFormat="1" applyFont="1" applyFill="1" applyBorder="1"/>
    <xf numFmtId="170" fontId="5" fillId="0" borderId="41" xfId="1" applyNumberFormat="1" applyFont="1" applyFill="1" applyBorder="1" applyProtection="1">
      <protection locked="0"/>
    </xf>
    <xf numFmtId="170" fontId="5" fillId="0" borderId="41" xfId="1" applyNumberFormat="1" applyFont="1" applyFill="1" applyBorder="1"/>
    <xf numFmtId="170" fontId="5" fillId="0" borderId="39" xfId="1" applyNumberFormat="1" applyFont="1" applyFill="1" applyBorder="1"/>
    <xf numFmtId="170" fontId="5" fillId="0" borderId="30" xfId="1" applyNumberFormat="1" applyFont="1" applyFill="1" applyBorder="1" applyProtection="1">
      <protection locked="0"/>
    </xf>
    <xf numFmtId="170" fontId="5" fillId="0" borderId="53" xfId="1" applyNumberFormat="1" applyFont="1" applyFill="1" applyBorder="1" applyProtection="1">
      <protection locked="0"/>
    </xf>
    <xf numFmtId="170" fontId="5" fillId="0" borderId="22" xfId="1" applyNumberFormat="1" applyFont="1" applyFill="1" applyBorder="1" applyProtection="1">
      <protection locked="0"/>
    </xf>
    <xf numFmtId="170" fontId="5" fillId="0" borderId="22" xfId="1" applyNumberFormat="1" applyFont="1" applyFill="1" applyBorder="1"/>
    <xf numFmtId="170" fontId="5" fillId="0" borderId="45" xfId="1" applyNumberFormat="1" applyFont="1" applyFill="1" applyBorder="1" applyProtection="1">
      <protection locked="0"/>
    </xf>
    <xf numFmtId="0" fontId="0" fillId="0" borderId="11" xfId="0" applyBorder="1"/>
    <xf numFmtId="0" fontId="6" fillId="0" borderId="64" xfId="47" applyFont="1" applyFill="1" applyBorder="1" applyAlignment="1">
      <alignment horizontal="center" vertical="center" wrapText="1"/>
    </xf>
    <xf numFmtId="170" fontId="6" fillId="0" borderId="24" xfId="49" applyNumberFormat="1" applyFont="1" applyFill="1" applyBorder="1" applyProtection="1"/>
    <xf numFmtId="170" fontId="6" fillId="0" borderId="0" xfId="49" applyNumberFormat="1" applyFont="1" applyFill="1" applyBorder="1" applyProtection="1"/>
    <xf numFmtId="170" fontId="6" fillId="0" borderId="0" xfId="49" applyNumberFormat="1" applyFont="1" applyFill="1" applyBorder="1"/>
    <xf numFmtId="170" fontId="6" fillId="0" borderId="63" xfId="49" applyNumberFormat="1" applyFont="1" applyFill="1" applyBorder="1"/>
    <xf numFmtId="43" fontId="0" fillId="0" borderId="0" xfId="0" applyNumberFormat="1"/>
    <xf numFmtId="170" fontId="5" fillId="0" borderId="23" xfId="0" applyNumberFormat="1" applyFont="1" applyFill="1" applyBorder="1" applyProtection="1">
      <protection locked="0"/>
    </xf>
    <xf numFmtId="170" fontId="5" fillId="0" borderId="21" xfId="0" applyNumberFormat="1" applyFont="1" applyFill="1" applyBorder="1" applyProtection="1">
      <protection locked="0"/>
    </xf>
    <xf numFmtId="170" fontId="5" fillId="0" borderId="48" xfId="0" applyNumberFormat="1" applyFont="1" applyFill="1" applyBorder="1" applyProtection="1">
      <protection locked="0"/>
    </xf>
    <xf numFmtId="170" fontId="5" fillId="0" borderId="30" xfId="0" applyNumberFormat="1" applyFont="1" applyFill="1" applyBorder="1" applyProtection="1">
      <protection locked="0"/>
    </xf>
    <xf numFmtId="170" fontId="5" fillId="0" borderId="22" xfId="0" applyNumberFormat="1" applyFont="1" applyFill="1" applyBorder="1" applyProtection="1">
      <protection locked="0"/>
    </xf>
    <xf numFmtId="166" fontId="5" fillId="0" borderId="22" xfId="51" applyNumberFormat="1" applyFont="1" applyFill="1" applyBorder="1" applyAlignment="1" applyProtection="1">
      <alignment horizontal="center" vertical="top" wrapText="1"/>
      <protection locked="0"/>
    </xf>
    <xf numFmtId="170" fontId="5" fillId="0" borderId="45" xfId="0" applyNumberFormat="1" applyFont="1" applyFill="1" applyBorder="1" applyProtection="1">
      <protection locked="0"/>
    </xf>
    <xf numFmtId="0" fontId="29" fillId="0" borderId="78" xfId="0" applyFont="1" applyBorder="1"/>
    <xf numFmtId="0" fontId="29" fillId="0" borderId="79" xfId="0" applyFont="1" applyBorder="1"/>
    <xf numFmtId="0" fontId="29" fillId="0" borderId="80" xfId="0" applyFont="1" applyBorder="1"/>
    <xf numFmtId="0" fontId="29" fillId="0" borderId="0" xfId="0" applyFont="1" applyBorder="1"/>
    <xf numFmtId="0" fontId="29" fillId="0" borderId="81" xfId="0" applyFont="1" applyBorder="1"/>
    <xf numFmtId="0" fontId="29" fillId="0" borderId="82" xfId="0" applyFont="1" applyBorder="1"/>
    <xf numFmtId="41" fontId="29" fillId="0" borderId="83" xfId="0" applyNumberFormat="1" applyFont="1" applyBorder="1"/>
    <xf numFmtId="41" fontId="29" fillId="0" borderId="84" xfId="0" applyNumberFormat="1" applyFont="1" applyBorder="1"/>
    <xf numFmtId="41" fontId="29" fillId="0" borderId="85" xfId="0" applyNumberFormat="1" applyFont="1" applyBorder="1"/>
    <xf numFmtId="41" fontId="6" fillId="0" borderId="21" xfId="1" applyNumberFormat="1" applyFont="1" applyFill="1" applyBorder="1" applyAlignment="1">
      <alignment horizontal="center"/>
    </xf>
    <xf numFmtId="41" fontId="5" fillId="0" borderId="20" xfId="1" applyNumberFormat="1" applyFont="1" applyFill="1" applyBorder="1"/>
    <xf numFmtId="170" fontId="0" fillId="0" borderId="0" xfId="0" applyNumberFormat="1"/>
    <xf numFmtId="41" fontId="0" fillId="0" borderId="0" xfId="0" applyNumberFormat="1"/>
    <xf numFmtId="0" fontId="29" fillId="0" borderId="0" xfId="0" applyFont="1"/>
    <xf numFmtId="9" fontId="5" fillId="0" borderId="20" xfId="51" applyFont="1" applyBorder="1" applyAlignment="1">
      <alignment horizontal="center"/>
    </xf>
    <xf numFmtId="0" fontId="6" fillId="0" borderId="57" xfId="1" applyFont="1" applyFill="1" applyBorder="1" applyAlignment="1">
      <alignment horizontal="center"/>
    </xf>
    <xf numFmtId="170" fontId="5" fillId="0" borderId="56" xfId="1" applyNumberFormat="1" applyFont="1" applyFill="1" applyBorder="1" applyProtection="1">
      <protection locked="0"/>
    </xf>
    <xf numFmtId="165" fontId="0" fillId="0" borderId="0" xfId="52" applyFont="1"/>
    <xf numFmtId="9" fontId="0" fillId="0" borderId="0" xfId="51" applyFont="1" applyBorder="1"/>
    <xf numFmtId="172" fontId="0" fillId="0" borderId="0" xfId="52" applyNumberFormat="1" applyFont="1"/>
    <xf numFmtId="9" fontId="0" fillId="0" borderId="0" xfId="51" applyFont="1"/>
    <xf numFmtId="0" fontId="0" fillId="0" borderId="0" xfId="0" applyBorder="1"/>
    <xf numFmtId="41" fontId="5" fillId="0" borderId="0" xfId="49" applyNumberFormat="1" applyFont="1" applyFill="1" applyBorder="1"/>
    <xf numFmtId="41" fontId="5" fillId="0" borderId="0" xfId="0" applyNumberFormat="1" applyFont="1" applyBorder="1"/>
    <xf numFmtId="170" fontId="6" fillId="26" borderId="24" xfId="49" applyNumberFormat="1" applyFont="1" applyFill="1" applyBorder="1" applyProtection="1"/>
    <xf numFmtId="170" fontId="6" fillId="26" borderId="41" xfId="49" applyNumberFormat="1" applyFont="1" applyFill="1" applyBorder="1" applyProtection="1"/>
    <xf numFmtId="9" fontId="5" fillId="26" borderId="20" xfId="51" applyFont="1" applyFill="1" applyBorder="1" applyAlignment="1">
      <alignment horizontal="center"/>
    </xf>
    <xf numFmtId="170" fontId="6" fillId="26" borderId="0" xfId="49" applyNumberFormat="1" applyFont="1" applyFill="1" applyBorder="1" applyProtection="1"/>
    <xf numFmtId="9" fontId="6" fillId="26" borderId="20" xfId="51" applyFont="1" applyFill="1" applyBorder="1" applyAlignment="1">
      <alignment horizontal="center"/>
    </xf>
    <xf numFmtId="170" fontId="6" fillId="26" borderId="42" xfId="49" applyNumberFormat="1" applyFont="1" applyFill="1" applyBorder="1" applyProtection="1"/>
    <xf numFmtId="170" fontId="6" fillId="26" borderId="47" xfId="49" applyNumberFormat="1" applyFont="1" applyFill="1" applyBorder="1"/>
    <xf numFmtId="170" fontId="6" fillId="26" borderId="41" xfId="49" applyNumberFormat="1" applyFont="1" applyFill="1" applyBorder="1"/>
    <xf numFmtId="170" fontId="6" fillId="26" borderId="42" xfId="49" applyNumberFormat="1" applyFont="1" applyFill="1" applyBorder="1"/>
    <xf numFmtId="41" fontId="6" fillId="26" borderId="34" xfId="0" applyNumberFormat="1" applyFont="1" applyFill="1" applyBorder="1"/>
    <xf numFmtId="41" fontId="6" fillId="26" borderId="58" xfId="0" applyNumberFormat="1" applyFont="1" applyFill="1" applyBorder="1"/>
    <xf numFmtId="41" fontId="6" fillId="26" borderId="26" xfId="0" applyNumberFormat="1" applyFont="1" applyFill="1" applyBorder="1"/>
    <xf numFmtId="41" fontId="6" fillId="26" borderId="51" xfId="0" applyNumberFormat="1" applyFont="1" applyFill="1" applyBorder="1"/>
    <xf numFmtId="170" fontId="6" fillId="26" borderId="24" xfId="1" applyNumberFormat="1" applyFont="1" applyFill="1" applyBorder="1"/>
    <xf numFmtId="170" fontId="6" fillId="26" borderId="20" xfId="1" applyNumberFormat="1" applyFont="1" applyFill="1" applyBorder="1"/>
    <xf numFmtId="165" fontId="6" fillId="26" borderId="20" xfId="52" applyFont="1" applyFill="1" applyBorder="1"/>
    <xf numFmtId="170" fontId="6" fillId="26" borderId="24" xfId="1" applyNumberFormat="1" applyFont="1" applyFill="1" applyBorder="1" applyAlignment="1">
      <alignment vertical="top"/>
    </xf>
    <xf numFmtId="170" fontId="6" fillId="26" borderId="20" xfId="1" applyNumberFormat="1" applyFont="1" applyFill="1" applyBorder="1" applyAlignment="1">
      <alignment vertical="top"/>
    </xf>
    <xf numFmtId="170" fontId="6" fillId="26" borderId="30" xfId="1" applyNumberFormat="1" applyFont="1" applyFill="1" applyBorder="1"/>
    <xf numFmtId="165" fontId="6" fillId="26" borderId="30" xfId="52" applyFont="1" applyFill="1" applyBorder="1"/>
    <xf numFmtId="170" fontId="6" fillId="26" borderId="64" xfId="1" applyNumberFormat="1" applyFont="1" applyFill="1" applyBorder="1"/>
    <xf numFmtId="170" fontId="6" fillId="26" borderId="47" xfId="1" applyNumberFormat="1" applyFont="1" applyFill="1" applyBorder="1" applyAlignment="1">
      <alignment vertical="top"/>
    </xf>
    <xf numFmtId="170" fontId="6" fillId="26" borderId="39" xfId="1" applyNumberFormat="1" applyFont="1" applyFill="1" applyBorder="1" applyAlignment="1">
      <alignment vertical="top"/>
    </xf>
    <xf numFmtId="165" fontId="6" fillId="26" borderId="39" xfId="52" applyFont="1" applyFill="1" applyBorder="1" applyAlignment="1">
      <alignment vertical="top"/>
    </xf>
    <xf numFmtId="170" fontId="6" fillId="26" borderId="28" xfId="1" applyNumberFormat="1" applyFont="1" applyFill="1" applyBorder="1" applyAlignment="1">
      <alignment vertical="top"/>
    </xf>
    <xf numFmtId="170" fontId="6" fillId="26" borderId="28" xfId="1" applyNumberFormat="1" applyFont="1" applyFill="1" applyBorder="1"/>
    <xf numFmtId="170" fontId="6" fillId="26" borderId="43" xfId="1" applyNumberFormat="1" applyFont="1" applyFill="1" applyBorder="1"/>
    <xf numFmtId="170" fontId="6" fillId="26" borderId="74" xfId="49" applyNumberFormat="1" applyFont="1" applyFill="1" applyBorder="1"/>
    <xf numFmtId="170" fontId="6" fillId="26" borderId="68" xfId="49" applyNumberFormat="1" applyFont="1" applyFill="1" applyBorder="1"/>
    <xf numFmtId="170" fontId="6" fillId="26" borderId="67" xfId="49" applyNumberFormat="1" applyFont="1" applyFill="1" applyBorder="1"/>
    <xf numFmtId="9" fontId="6" fillId="26" borderId="26" xfId="51" applyFont="1" applyFill="1" applyBorder="1" applyAlignment="1">
      <alignment horizontal="center"/>
    </xf>
    <xf numFmtId="170" fontId="6" fillId="26" borderId="72" xfId="49" applyNumberFormat="1" applyFont="1" applyFill="1" applyBorder="1"/>
    <xf numFmtId="9" fontId="6" fillId="26" borderId="22" xfId="51" applyFont="1" applyFill="1" applyBorder="1" applyAlignment="1">
      <alignment horizontal="center"/>
    </xf>
    <xf numFmtId="170" fontId="6" fillId="26" borderId="77" xfId="49" applyNumberFormat="1" applyFont="1" applyFill="1" applyBorder="1"/>
    <xf numFmtId="170" fontId="5" fillId="26" borderId="10" xfId="49" applyNumberFormat="1" applyFont="1" applyFill="1" applyBorder="1" applyProtection="1">
      <protection locked="0"/>
    </xf>
    <xf numFmtId="170" fontId="5" fillId="26" borderId="41" xfId="49" applyNumberFormat="1" applyFont="1" applyFill="1" applyBorder="1" applyProtection="1">
      <protection locked="0"/>
    </xf>
    <xf numFmtId="170" fontId="5" fillId="26" borderId="20" xfId="49" applyNumberFormat="1" applyFont="1" applyFill="1" applyBorder="1" applyProtection="1">
      <protection locked="0"/>
    </xf>
    <xf numFmtId="170" fontId="5" fillId="26" borderId="20" xfId="0" applyNumberFormat="1" applyFont="1" applyFill="1" applyBorder="1" applyProtection="1">
      <protection locked="0"/>
    </xf>
    <xf numFmtId="170" fontId="5" fillId="26" borderId="49" xfId="49" applyNumberFormat="1" applyFont="1" applyFill="1" applyBorder="1" applyProtection="1">
      <protection locked="0"/>
    </xf>
    <xf numFmtId="170" fontId="5" fillId="26" borderId="61" xfId="49" applyNumberFormat="1" applyFont="1" applyFill="1" applyBorder="1" applyProtection="1">
      <protection locked="0"/>
    </xf>
    <xf numFmtId="170" fontId="5" fillId="26" borderId="32" xfId="49" applyNumberFormat="1" applyFont="1" applyFill="1" applyBorder="1" applyProtection="1">
      <protection locked="0"/>
    </xf>
    <xf numFmtId="170" fontId="6" fillId="26" borderId="66" xfId="49" applyNumberFormat="1" applyFont="1" applyFill="1" applyBorder="1"/>
    <xf numFmtId="9" fontId="6" fillId="26" borderId="28" xfId="51" applyFont="1" applyFill="1" applyBorder="1" applyAlignment="1">
      <alignment horizontal="center"/>
    </xf>
    <xf numFmtId="170" fontId="6" fillId="26" borderId="64" xfId="49" applyNumberFormat="1" applyFont="1" applyFill="1" applyBorder="1"/>
    <xf numFmtId="170" fontId="6" fillId="26" borderId="63" xfId="49" applyNumberFormat="1" applyFont="1" applyFill="1" applyBorder="1"/>
    <xf numFmtId="170" fontId="6" fillId="26" borderId="10" xfId="49" applyNumberFormat="1" applyFont="1" applyFill="1" applyBorder="1"/>
    <xf numFmtId="170" fontId="6" fillId="26" borderId="11" xfId="49" applyNumberFormat="1" applyFont="1" applyFill="1" applyBorder="1"/>
    <xf numFmtId="170" fontId="6" fillId="26" borderId="33" xfId="49" applyNumberFormat="1" applyFont="1" applyFill="1" applyBorder="1"/>
    <xf numFmtId="170" fontId="6" fillId="26" borderId="20" xfId="49" applyNumberFormat="1" applyFont="1" applyFill="1" applyBorder="1"/>
    <xf numFmtId="170" fontId="6" fillId="26" borderId="30" xfId="0" applyNumberFormat="1" applyFont="1" applyFill="1" applyBorder="1"/>
    <xf numFmtId="170" fontId="6" fillId="26" borderId="22" xfId="0" applyNumberFormat="1" applyFont="1" applyFill="1" applyBorder="1"/>
    <xf numFmtId="166" fontId="6" fillId="26" borderId="22" xfId="51" applyNumberFormat="1" applyFont="1" applyFill="1" applyBorder="1" applyAlignment="1">
      <alignment horizontal="center" vertical="top" wrapText="1"/>
    </xf>
    <xf numFmtId="170" fontId="6" fillId="26" borderId="45" xfId="0" applyNumberFormat="1" applyFont="1" applyFill="1" applyBorder="1"/>
    <xf numFmtId="0" fontId="4" fillId="0" borderId="13" xfId="0" applyFont="1" applyFill="1" applyBorder="1" applyAlignment="1">
      <alignment horizontal="left"/>
    </xf>
    <xf numFmtId="165" fontId="0" fillId="0" borderId="0" xfId="0" applyNumberFormat="1"/>
    <xf numFmtId="170" fontId="6" fillId="27" borderId="24" xfId="49" applyNumberFormat="1" applyFont="1" applyFill="1" applyBorder="1"/>
    <xf numFmtId="170" fontId="6" fillId="27" borderId="20" xfId="49" applyNumberFormat="1" applyFont="1" applyFill="1" applyBorder="1"/>
    <xf numFmtId="166" fontId="6" fillId="27" borderId="20" xfId="42" applyNumberFormat="1" applyFont="1" applyFill="1" applyBorder="1" applyAlignment="1">
      <alignment horizontal="center" wrapText="1"/>
    </xf>
    <xf numFmtId="170" fontId="6" fillId="27" borderId="42" xfId="49" applyNumberFormat="1" applyFont="1" applyFill="1" applyBorder="1"/>
    <xf numFmtId="170" fontId="6" fillId="27" borderId="29" xfId="49" applyNumberFormat="1" applyFont="1" applyFill="1" applyBorder="1"/>
    <xf numFmtId="170" fontId="6" fillId="27" borderId="28" xfId="49" applyNumberFormat="1" applyFont="1" applyFill="1" applyBorder="1"/>
    <xf numFmtId="166" fontId="6" fillId="27" borderId="28" xfId="42" applyNumberFormat="1" applyFont="1" applyFill="1" applyBorder="1" applyAlignment="1">
      <alignment horizontal="center" vertical="top" wrapText="1"/>
    </xf>
    <xf numFmtId="170" fontId="6" fillId="27" borderId="43" xfId="49" applyNumberFormat="1" applyFont="1" applyFill="1" applyBorder="1"/>
    <xf numFmtId="170" fontId="6" fillId="27" borderId="27" xfId="49" applyNumberFormat="1" applyFont="1" applyFill="1" applyBorder="1"/>
    <xf numFmtId="170" fontId="6" fillId="27" borderId="26" xfId="49" applyNumberFormat="1" applyFont="1" applyFill="1" applyBorder="1"/>
    <xf numFmtId="166" fontId="6" fillId="27" borderId="26" xfId="42" applyNumberFormat="1" applyFont="1" applyFill="1" applyBorder="1" applyAlignment="1">
      <alignment horizontal="center" vertical="top" wrapText="1"/>
    </xf>
    <xf numFmtId="170" fontId="6" fillId="27" borderId="51" xfId="49" applyNumberFormat="1" applyFont="1" applyFill="1" applyBorder="1"/>
    <xf numFmtId="164" fontId="5" fillId="0" borderId="42" xfId="1" applyNumberFormat="1" applyFont="1" applyFill="1" applyBorder="1" applyProtection="1">
      <protection locked="0"/>
    </xf>
    <xf numFmtId="170" fontId="6" fillId="27" borderId="62" xfId="47" applyNumberFormat="1" applyFont="1" applyFill="1" applyBorder="1" applyAlignment="1" applyProtection="1">
      <alignment vertical="top"/>
    </xf>
    <xf numFmtId="170" fontId="6" fillId="27" borderId="41" xfId="47" applyNumberFormat="1" applyFont="1" applyFill="1" applyBorder="1" applyAlignment="1" applyProtection="1">
      <alignment vertical="top"/>
    </xf>
    <xf numFmtId="170" fontId="6" fillId="27" borderId="20" xfId="47" applyNumberFormat="1" applyFont="1" applyFill="1" applyBorder="1" applyAlignment="1" applyProtection="1">
      <alignment vertical="top"/>
    </xf>
    <xf numFmtId="171" fontId="6" fillId="27" borderId="41" xfId="51" applyNumberFormat="1" applyFont="1" applyFill="1" applyBorder="1" applyAlignment="1">
      <alignment vertical="top"/>
    </xf>
    <xf numFmtId="170" fontId="6" fillId="27" borderId="49" xfId="47" applyNumberFormat="1" applyFont="1" applyFill="1" applyBorder="1" applyProtection="1"/>
    <xf numFmtId="170" fontId="6" fillId="27" borderId="56" xfId="47" applyNumberFormat="1" applyFont="1" applyFill="1" applyBorder="1" applyProtection="1"/>
    <xf numFmtId="170" fontId="6" fillId="27" borderId="32" xfId="47" applyNumberFormat="1" applyFont="1" applyFill="1" applyBorder="1" applyProtection="1"/>
    <xf numFmtId="171" fontId="6" fillId="27" borderId="32" xfId="51" applyNumberFormat="1" applyFont="1" applyFill="1" applyBorder="1"/>
    <xf numFmtId="170" fontId="6" fillId="27" borderId="10" xfId="47" applyNumberFormat="1" applyFont="1" applyFill="1" applyBorder="1" applyProtection="1"/>
    <xf numFmtId="170" fontId="6" fillId="27" borderId="41" xfId="47" applyNumberFormat="1" applyFont="1" applyFill="1" applyBorder="1" applyProtection="1"/>
    <xf numFmtId="170" fontId="6" fillId="27" borderId="20" xfId="47" applyNumberFormat="1" applyFont="1" applyFill="1" applyBorder="1" applyProtection="1"/>
    <xf numFmtId="171" fontId="6" fillId="27" borderId="20" xfId="51" applyNumberFormat="1" applyFont="1" applyFill="1" applyBorder="1"/>
    <xf numFmtId="170" fontId="6" fillId="27" borderId="33" xfId="47" applyNumberFormat="1" applyFont="1" applyFill="1" applyBorder="1" applyProtection="1"/>
    <xf numFmtId="170" fontId="6" fillId="27" borderId="24" xfId="47" applyNumberFormat="1" applyFont="1" applyFill="1" applyBorder="1" applyProtection="1"/>
    <xf numFmtId="170" fontId="6" fillId="27" borderId="61" xfId="47" applyNumberFormat="1" applyFont="1" applyFill="1" applyBorder="1" applyProtection="1"/>
    <xf numFmtId="170" fontId="6" fillId="27" borderId="65" xfId="47" applyNumberFormat="1" applyFont="1" applyFill="1" applyBorder="1" applyProtection="1"/>
    <xf numFmtId="171" fontId="6" fillId="27" borderId="32" xfId="42" applyNumberFormat="1" applyFont="1" applyFill="1" applyBorder="1"/>
    <xf numFmtId="170" fontId="6" fillId="27" borderId="46" xfId="47" applyNumberFormat="1" applyFont="1" applyFill="1" applyBorder="1" applyProtection="1"/>
    <xf numFmtId="170" fontId="6" fillId="27" borderId="62" xfId="47" applyNumberFormat="1" applyFont="1" applyFill="1" applyBorder="1" applyProtection="1"/>
    <xf numFmtId="170" fontId="6" fillId="27" borderId="47" xfId="47" applyNumberFormat="1" applyFont="1" applyFill="1" applyBorder="1" applyProtection="1"/>
    <xf numFmtId="170" fontId="6" fillId="27" borderId="39" xfId="47" applyNumberFormat="1" applyFont="1" applyFill="1" applyBorder="1" applyProtection="1"/>
    <xf numFmtId="170" fontId="6" fillId="27" borderId="87" xfId="0" applyNumberFormat="1" applyFont="1" applyFill="1" applyBorder="1" applyProtection="1"/>
    <xf numFmtId="170" fontId="6" fillId="27" borderId="39" xfId="0" applyNumberFormat="1" applyFont="1" applyFill="1" applyBorder="1" applyProtection="1"/>
    <xf numFmtId="171" fontId="6" fillId="27" borderId="39" xfId="51" applyNumberFormat="1" applyFont="1" applyFill="1" applyBorder="1"/>
    <xf numFmtId="170" fontId="6" fillId="27" borderId="44" xfId="0" applyNumberFormat="1" applyFont="1" applyFill="1" applyBorder="1" applyProtection="1"/>
    <xf numFmtId="0" fontId="6" fillId="27" borderId="64" xfId="47" applyFont="1" applyFill="1" applyBorder="1" applyAlignment="1">
      <alignment horizontal="center" vertical="center" wrapText="1"/>
    </xf>
    <xf numFmtId="0" fontId="6" fillId="27" borderId="66" xfId="47" applyFont="1" applyFill="1" applyBorder="1" applyAlignment="1">
      <alignment horizontal="center" vertical="center" wrapText="1"/>
    </xf>
    <xf numFmtId="0" fontId="6" fillId="27" borderId="67" xfId="47" applyFont="1" applyFill="1" applyBorder="1" applyAlignment="1">
      <alignment horizontal="center" vertical="center" wrapText="1"/>
    </xf>
    <xf numFmtId="0" fontId="6" fillId="27" borderId="76" xfId="47" applyFont="1" applyFill="1" applyBorder="1" applyAlignment="1">
      <alignment horizontal="center" vertical="center" wrapText="1"/>
    </xf>
    <xf numFmtId="171" fontId="6" fillId="27" borderId="20" xfId="42" applyNumberFormat="1" applyFont="1" applyFill="1" applyBorder="1"/>
    <xf numFmtId="170" fontId="6" fillId="27" borderId="42" xfId="47" applyNumberFormat="1" applyFont="1" applyFill="1" applyBorder="1" applyProtection="1"/>
    <xf numFmtId="0" fontId="8" fillId="0" borderId="15" xfId="1" applyFont="1" applyFill="1" applyBorder="1" applyAlignment="1">
      <alignment horizontal="left" vertical="center"/>
    </xf>
    <xf numFmtId="170" fontId="5" fillId="0" borderId="41" xfId="53" applyNumberFormat="1" applyFont="1" applyFill="1" applyBorder="1" applyProtection="1">
      <protection locked="0"/>
    </xf>
    <xf numFmtId="170" fontId="5" fillId="0" borderId="41" xfId="53" applyNumberFormat="1" applyFont="1" applyFill="1" applyBorder="1" applyProtection="1">
      <protection locked="0"/>
    </xf>
    <xf numFmtId="170" fontId="5" fillId="0" borderId="24" xfId="53" applyNumberFormat="1" applyFont="1" applyFill="1" applyBorder="1" applyProtection="1">
      <protection locked="0"/>
    </xf>
    <xf numFmtId="170" fontId="5" fillId="0" borderId="24" xfId="53" applyNumberFormat="1" applyFont="1" applyFill="1" applyBorder="1" applyProtection="1">
      <protection locked="0"/>
    </xf>
    <xf numFmtId="170" fontId="5" fillId="0" borderId="20" xfId="53" applyNumberFormat="1" applyFont="1" applyFill="1" applyBorder="1" applyProtection="1">
      <protection locked="0"/>
    </xf>
    <xf numFmtId="170" fontId="5" fillId="0" borderId="24" xfId="53" applyNumberFormat="1" applyFont="1" applyFill="1" applyBorder="1" applyProtection="1">
      <protection locked="0"/>
    </xf>
    <xf numFmtId="170" fontId="5" fillId="0" borderId="39" xfId="53" applyNumberFormat="1" applyFont="1" applyFill="1" applyBorder="1" applyProtection="1">
      <protection locked="0"/>
    </xf>
    <xf numFmtId="170" fontId="5" fillId="0" borderId="47" xfId="53" applyNumberFormat="1" applyFont="1" applyFill="1" applyBorder="1" applyProtection="1">
      <protection locked="0"/>
    </xf>
    <xf numFmtId="170" fontId="5" fillId="0" borderId="20" xfId="53" applyNumberFormat="1" applyFont="1" applyFill="1" applyBorder="1" applyProtection="1">
      <protection locked="0"/>
    </xf>
    <xf numFmtId="170" fontId="5" fillId="0" borderId="24" xfId="53" applyNumberFormat="1" applyFont="1" applyFill="1" applyBorder="1" applyProtection="1"/>
    <xf numFmtId="170" fontId="5" fillId="0" borderId="61" xfId="53" applyNumberFormat="1" applyFont="1" applyFill="1" applyBorder="1" applyProtection="1"/>
    <xf numFmtId="170" fontId="5" fillId="0" borderId="24" xfId="53" applyNumberFormat="1" applyFont="1" applyFill="1" applyBorder="1" applyProtection="1"/>
    <xf numFmtId="170" fontId="5" fillId="0" borderId="24" xfId="53" applyNumberFormat="1" applyFont="1" applyFill="1" applyBorder="1" applyProtection="1"/>
    <xf numFmtId="170" fontId="5" fillId="0" borderId="24" xfId="53" applyNumberFormat="1" applyFont="1" applyFill="1" applyBorder="1" applyProtection="1"/>
    <xf numFmtId="170" fontId="5" fillId="0" borderId="24" xfId="53" applyNumberFormat="1" applyFont="1" applyFill="1" applyBorder="1" applyProtection="1"/>
    <xf numFmtId="169" fontId="5" fillId="0" borderId="24" xfId="53" applyNumberFormat="1" applyFont="1" applyBorder="1"/>
    <xf numFmtId="170" fontId="5" fillId="0" borderId="24" xfId="53" applyNumberFormat="1" applyFont="1" applyFill="1" applyBorder="1" applyProtection="1"/>
    <xf numFmtId="9" fontId="5" fillId="0" borderId="20" xfId="51" applyFont="1" applyFill="1" applyBorder="1" applyAlignment="1">
      <alignment horizontal="center"/>
    </xf>
    <xf numFmtId="9" fontId="6" fillId="26" borderId="28" xfId="51" applyFont="1" applyFill="1" applyBorder="1" applyAlignment="1">
      <alignment horizontal="center" vertical="top"/>
    </xf>
    <xf numFmtId="43" fontId="0" fillId="0" borderId="0" xfId="0" applyNumberFormat="1" applyBorder="1"/>
    <xf numFmtId="170" fontId="6" fillId="26" borderId="43" xfId="1" applyNumberFormat="1" applyFont="1" applyFill="1" applyBorder="1" applyAlignment="1">
      <alignment vertical="top"/>
    </xf>
    <xf numFmtId="170" fontId="6" fillId="26" borderId="42" xfId="1" applyNumberFormat="1" applyFont="1" applyFill="1" applyBorder="1"/>
    <xf numFmtId="170" fontId="6" fillId="26" borderId="42" xfId="1" applyNumberFormat="1" applyFont="1" applyFill="1" applyBorder="1" applyAlignment="1">
      <alignment vertical="top"/>
    </xf>
    <xf numFmtId="170" fontId="6" fillId="26" borderId="44" xfId="1" applyNumberFormat="1" applyFont="1" applyFill="1" applyBorder="1" applyAlignment="1">
      <alignment vertical="top"/>
    </xf>
    <xf numFmtId="0" fontId="6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left"/>
    </xf>
    <xf numFmtId="0" fontId="6" fillId="0" borderId="35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vertical="center" wrapText="1"/>
    </xf>
    <xf numFmtId="0" fontId="6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24" xfId="0" applyFont="1" applyBorder="1"/>
    <xf numFmtId="0" fontId="5" fillId="0" borderId="20" xfId="0" applyFont="1" applyBorder="1"/>
    <xf numFmtId="0" fontId="5" fillId="0" borderId="33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1" xfId="0" applyFont="1" applyBorder="1" applyAlignment="1">
      <alignment horizontal="left" indent="1"/>
    </xf>
    <xf numFmtId="0" fontId="6" fillId="0" borderId="25" xfId="0" applyFont="1" applyBorder="1"/>
    <xf numFmtId="0" fontId="6" fillId="0" borderId="34" xfId="0" applyFont="1" applyBorder="1" applyAlignment="1">
      <alignment horizontal="center"/>
    </xf>
    <xf numFmtId="170" fontId="6" fillId="0" borderId="27" xfId="0" applyNumberFormat="1" applyFont="1" applyBorder="1"/>
    <xf numFmtId="170" fontId="6" fillId="0" borderId="26" xfId="0" applyNumberFormat="1" applyFont="1" applyBorder="1"/>
    <xf numFmtId="170" fontId="6" fillId="0" borderId="88" xfId="0" applyNumberFormat="1" applyFont="1" applyBorder="1"/>
    <xf numFmtId="170" fontId="6" fillId="0" borderId="34" xfId="0" applyNumberFormat="1" applyFont="1" applyBorder="1"/>
    <xf numFmtId="170" fontId="6" fillId="0" borderId="75" xfId="0" applyNumberFormat="1" applyFont="1" applyBorder="1"/>
    <xf numFmtId="0" fontId="6" fillId="0" borderId="63" xfId="0" applyFont="1" applyBorder="1"/>
    <xf numFmtId="0" fontId="6" fillId="0" borderId="64" xfId="0" applyFont="1" applyBorder="1" applyAlignment="1">
      <alignment horizontal="center"/>
    </xf>
    <xf numFmtId="170" fontId="6" fillId="0" borderId="75" xfId="0" applyNumberFormat="1" applyFont="1" applyFill="1" applyBorder="1"/>
    <xf numFmtId="170" fontId="6" fillId="0" borderId="17" xfId="0" applyNumberFormat="1" applyFont="1" applyBorder="1"/>
    <xf numFmtId="170" fontId="5" fillId="0" borderId="33" xfId="0" applyNumberFormat="1" applyFont="1" applyFill="1" applyBorder="1" applyProtection="1">
      <protection locked="0"/>
    </xf>
    <xf numFmtId="170" fontId="6" fillId="0" borderId="27" xfId="0" applyNumberFormat="1" applyFont="1" applyFill="1" applyBorder="1"/>
    <xf numFmtId="170" fontId="6" fillId="0" borderId="26" xfId="0" applyNumberFormat="1" applyFont="1" applyFill="1" applyBorder="1"/>
    <xf numFmtId="170" fontId="6" fillId="0" borderId="88" xfId="0" applyNumberFormat="1" applyFont="1" applyFill="1" applyBorder="1"/>
    <xf numFmtId="170" fontId="6" fillId="0" borderId="34" xfId="0" applyNumberFormat="1" applyFont="1" applyFill="1" applyBorder="1"/>
    <xf numFmtId="170" fontId="5" fillId="0" borderId="64" xfId="0" applyNumberFormat="1" applyFont="1" applyFill="1" applyBorder="1"/>
    <xf numFmtId="170" fontId="6" fillId="0" borderId="76" xfId="0" applyNumberFormat="1" applyFont="1" applyFill="1" applyBorder="1"/>
    <xf numFmtId="12" fontId="5" fillId="0" borderId="68" xfId="0" applyNumberFormat="1" applyFont="1" applyFill="1" applyBorder="1" applyProtection="1">
      <protection locked="0"/>
    </xf>
    <xf numFmtId="12" fontId="5" fillId="0" borderId="76" xfId="0" applyNumberFormat="1" applyFont="1" applyFill="1" applyBorder="1" applyProtection="1">
      <protection locked="0"/>
    </xf>
    <xf numFmtId="170" fontId="5" fillId="0" borderId="10" xfId="0" applyNumberFormat="1" applyFont="1" applyFill="1" applyBorder="1" applyProtection="1">
      <protection locked="0"/>
    </xf>
    <xf numFmtId="170" fontId="5" fillId="0" borderId="49" xfId="0" applyNumberFormat="1" applyFont="1" applyFill="1" applyBorder="1" applyProtection="1">
      <protection locked="0"/>
    </xf>
    <xf numFmtId="0" fontId="6" fillId="0" borderId="30" xfId="1" applyFont="1" applyFill="1" applyBorder="1" applyAlignment="1">
      <alignment horizontal="center"/>
    </xf>
    <xf numFmtId="170" fontId="5" fillId="0" borderId="66" xfId="0" applyNumberFormat="1" applyFont="1" applyFill="1" applyBorder="1" applyProtection="1">
      <protection locked="0"/>
    </xf>
    <xf numFmtId="0" fontId="6" fillId="0" borderId="35" xfId="47" applyFont="1" applyFill="1" applyBorder="1" applyAlignment="1">
      <alignment horizontal="center" vertical="center"/>
    </xf>
    <xf numFmtId="0" fontId="3" fillId="0" borderId="10" xfId="47" applyFont="1" applyBorder="1"/>
    <xf numFmtId="0" fontId="6" fillId="0" borderId="60" xfId="47" applyFont="1" applyFill="1" applyBorder="1" applyAlignment="1">
      <alignment horizontal="center" vertical="center" wrapText="1"/>
    </xf>
    <xf numFmtId="0" fontId="6" fillId="0" borderId="37" xfId="47" applyFont="1" applyFill="1" applyBorder="1" applyAlignment="1">
      <alignment horizontal="center" vertical="center" wrapText="1"/>
    </xf>
    <xf numFmtId="0" fontId="6" fillId="0" borderId="18" xfId="47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left"/>
    </xf>
    <xf numFmtId="0" fontId="29" fillId="0" borderId="86" xfId="0" applyFont="1" applyBorder="1" applyAlignment="1">
      <alignment horizontal="center"/>
    </xf>
    <xf numFmtId="0" fontId="4" fillId="0" borderId="13" xfId="49" applyFont="1" applyFill="1" applyBorder="1" applyAlignment="1">
      <alignment horizontal="left" wrapText="1"/>
    </xf>
    <xf numFmtId="0" fontId="6" fillId="0" borderId="14" xfId="49" applyFont="1" applyFill="1" applyBorder="1" applyAlignment="1">
      <alignment horizontal="center" vertical="center"/>
    </xf>
    <xf numFmtId="0" fontId="6" fillId="0" borderId="11" xfId="49" applyFont="1" applyFill="1" applyBorder="1" applyAlignment="1">
      <alignment horizontal="center" vertical="center"/>
    </xf>
    <xf numFmtId="0" fontId="6" fillId="0" borderId="48" xfId="49" applyFont="1" applyFill="1" applyBorder="1" applyAlignment="1">
      <alignment horizontal="center" vertical="center"/>
    </xf>
    <xf numFmtId="0" fontId="6" fillId="0" borderId="42" xfId="49" applyFont="1" applyFill="1" applyBorder="1" applyAlignment="1">
      <alignment horizontal="center" vertical="center"/>
    </xf>
    <xf numFmtId="0" fontId="6" fillId="0" borderId="35" xfId="49" applyFont="1" applyFill="1" applyBorder="1" applyAlignment="1">
      <alignment horizontal="center" vertical="center"/>
    </xf>
    <xf numFmtId="0" fontId="6" fillId="0" borderId="10" xfId="49" applyFont="1" applyFill="1" applyBorder="1" applyAlignment="1">
      <alignment horizontal="center" vertical="center"/>
    </xf>
    <xf numFmtId="0" fontId="4" fillId="0" borderId="13" xfId="49" applyFont="1" applyFill="1" applyBorder="1" applyAlignment="1">
      <alignment horizontal="left" vertical="top" wrapText="1"/>
    </xf>
    <xf numFmtId="0" fontId="4" fillId="0" borderId="13" xfId="49" applyFont="1" applyFill="1" applyBorder="1" applyAlignment="1">
      <alignment horizontal="left"/>
    </xf>
    <xf numFmtId="0" fontId="6" fillId="0" borderId="14" xfId="49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60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6" fillId="0" borderId="3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48" xfId="0" applyFont="1" applyFill="1" applyBorder="1" applyAlignment="1">
      <alignment horizontal="center" vertical="top" wrapText="1"/>
    </xf>
    <xf numFmtId="0" fontId="6" fillId="0" borderId="45" xfId="0" applyFont="1" applyFill="1" applyBorder="1" applyAlignment="1">
      <alignment horizontal="center" vertical="top" wrapText="1"/>
    </xf>
    <xf numFmtId="0" fontId="6" fillId="0" borderId="60" xfId="49" applyFont="1" applyFill="1" applyBorder="1" applyAlignment="1">
      <alignment horizontal="center" vertical="center" wrapText="1"/>
    </xf>
    <xf numFmtId="0" fontId="6" fillId="0" borderId="37" xfId="49" applyFont="1" applyFill="1" applyBorder="1" applyAlignment="1">
      <alignment horizontal="center" vertical="center" wrapText="1"/>
    </xf>
    <xf numFmtId="0" fontId="6" fillId="0" borderId="18" xfId="49" applyFont="1" applyFill="1" applyBorder="1" applyAlignment="1">
      <alignment horizontal="center" vertical="center" wrapText="1"/>
    </xf>
    <xf numFmtId="9" fontId="6" fillId="26" borderId="0" xfId="51" applyFont="1" applyFill="1" applyBorder="1"/>
    <xf numFmtId="9" fontId="5" fillId="0" borderId="20" xfId="51" applyFont="1" applyFill="1" applyBorder="1"/>
    <xf numFmtId="9" fontId="5" fillId="0" borderId="22" xfId="51" applyFont="1" applyFill="1" applyBorder="1"/>
    <xf numFmtId="0" fontId="5" fillId="0" borderId="3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5" fontId="5" fillId="0" borderId="39" xfId="52" applyFont="1" applyFill="1" applyBorder="1" applyProtection="1">
      <protection locked="0"/>
    </xf>
    <xf numFmtId="165" fontId="5" fillId="0" borderId="39" xfId="52" applyFont="1" applyFill="1" applyBorder="1"/>
    <xf numFmtId="165" fontId="5" fillId="0" borderId="44" xfId="52" applyFont="1" applyFill="1" applyBorder="1" applyProtection="1">
      <protection locked="0"/>
    </xf>
    <xf numFmtId="165" fontId="5" fillId="0" borderId="20" xfId="52" applyFont="1" applyFill="1" applyBorder="1" applyProtection="1">
      <protection locked="0"/>
    </xf>
    <xf numFmtId="165" fontId="5" fillId="0" borderId="20" xfId="52" applyFont="1" applyFill="1" applyBorder="1"/>
    <xf numFmtId="165" fontId="5" fillId="0" borderId="42" xfId="52" applyFont="1" applyFill="1" applyBorder="1" applyProtection="1">
      <protection locked="0"/>
    </xf>
    <xf numFmtId="165" fontId="5" fillId="0" borderId="47" xfId="52" applyFont="1" applyFill="1" applyBorder="1" applyProtection="1">
      <protection locked="0"/>
    </xf>
    <xf numFmtId="165" fontId="5" fillId="0" borderId="24" xfId="52" applyFont="1" applyFill="1" applyBorder="1" applyProtection="1">
      <protection locked="0"/>
    </xf>
    <xf numFmtId="165" fontId="6" fillId="26" borderId="24" xfId="52" applyFont="1" applyFill="1" applyBorder="1"/>
    <xf numFmtId="165" fontId="6" fillId="26" borderId="42" xfId="52" applyFont="1" applyFill="1" applyBorder="1"/>
    <xf numFmtId="165" fontId="6" fillId="26" borderId="29" xfId="52" applyFont="1" applyFill="1" applyBorder="1"/>
    <xf numFmtId="165" fontId="6" fillId="26" borderId="28" xfId="52" applyFont="1" applyFill="1" applyBorder="1"/>
    <xf numFmtId="165" fontId="6" fillId="26" borderId="43" xfId="52" applyFont="1" applyFill="1" applyBorder="1"/>
    <xf numFmtId="165" fontId="5" fillId="0" borderId="24" xfId="52" applyFont="1" applyFill="1" applyBorder="1"/>
    <xf numFmtId="165" fontId="5" fillId="0" borderId="42" xfId="52" applyFont="1" applyFill="1" applyBorder="1"/>
    <xf numFmtId="165" fontId="6" fillId="26" borderId="47" xfId="52" applyFont="1" applyFill="1" applyBorder="1"/>
    <xf numFmtId="165" fontId="6" fillId="26" borderId="39" xfId="52" applyFont="1" applyFill="1" applyBorder="1"/>
    <xf numFmtId="165" fontId="6" fillId="26" borderId="44" xfId="52" applyFont="1" applyFill="1" applyBorder="1"/>
    <xf numFmtId="165" fontId="5" fillId="0" borderId="61" xfId="52" applyFont="1" applyFill="1" applyBorder="1"/>
    <xf numFmtId="165" fontId="5" fillId="0" borderId="32" xfId="52" applyFont="1" applyFill="1" applyBorder="1"/>
    <xf numFmtId="165" fontId="5" fillId="0" borderId="46" xfId="52" applyFont="1" applyFill="1" applyBorder="1"/>
    <xf numFmtId="165" fontId="5" fillId="26" borderId="27" xfId="52" applyFont="1" applyFill="1" applyBorder="1"/>
    <xf numFmtId="165" fontId="5" fillId="26" borderId="26" xfId="52" applyFont="1" applyFill="1" applyBorder="1"/>
    <xf numFmtId="165" fontId="5" fillId="26" borderId="51" xfId="52" applyFont="1" applyFill="1" applyBorder="1"/>
    <xf numFmtId="9" fontId="6" fillId="0" borderId="19" xfId="51" applyFont="1" applyFill="1" applyBorder="1" applyAlignment="1">
      <alignment horizontal="centerContinuous" vertical="center" wrapText="1"/>
    </xf>
    <xf numFmtId="9" fontId="6" fillId="0" borderId="39" xfId="51" applyFont="1" applyFill="1" applyBorder="1" applyAlignment="1">
      <alignment horizontal="center" vertical="center" wrapText="1"/>
    </xf>
    <xf numFmtId="9" fontId="6" fillId="0" borderId="32" xfId="51" applyFont="1" applyFill="1" applyBorder="1" applyAlignment="1">
      <alignment horizontal="center" vertical="center"/>
    </xf>
    <xf numFmtId="9" fontId="6" fillId="0" borderId="20" xfId="51" applyFont="1" applyFill="1" applyBorder="1"/>
    <xf numFmtId="9" fontId="6" fillId="26" borderId="20" xfId="51" applyFont="1" applyFill="1" applyBorder="1" applyAlignment="1">
      <alignment horizontal="center" wrapText="1"/>
    </xf>
    <xf numFmtId="9" fontId="5" fillId="0" borderId="39" xfId="51" applyFont="1" applyFill="1" applyBorder="1" applyAlignment="1">
      <alignment horizontal="center" vertical="top" wrapText="1"/>
    </xf>
    <xf numFmtId="9" fontId="5" fillId="0" borderId="20" xfId="51" applyFont="1" applyFill="1" applyBorder="1" applyAlignment="1">
      <alignment horizontal="center" vertical="top" wrapText="1"/>
    </xf>
    <xf numFmtId="9" fontId="6" fillId="26" borderId="28" xfId="51" applyFont="1" applyFill="1" applyBorder="1" applyAlignment="1">
      <alignment horizontal="center" vertical="top" wrapText="1"/>
    </xf>
    <xf numFmtId="9" fontId="6" fillId="26" borderId="39" xfId="51" applyFont="1" applyFill="1" applyBorder="1" applyAlignment="1">
      <alignment horizontal="center" vertical="top" wrapText="1"/>
    </xf>
    <xf numFmtId="9" fontId="5" fillId="0" borderId="32" xfId="51" applyFont="1" applyFill="1" applyBorder="1" applyAlignment="1">
      <alignment horizontal="center" vertical="top" wrapText="1"/>
    </xf>
    <xf numFmtId="9" fontId="5" fillId="26" borderId="26" xfId="51" applyFont="1" applyFill="1" applyBorder="1" applyAlignment="1">
      <alignment horizontal="center" vertical="top" wrapText="1"/>
    </xf>
    <xf numFmtId="9" fontId="0" fillId="0" borderId="0" xfId="51" applyFont="1" applyFill="1"/>
  </cellXfs>
  <cellStyles count="5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52" builtinId="3"/>
    <cellStyle name="Comma 2" xfId="29"/>
    <cellStyle name="Comma 3" xfId="54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46"/>
    <cellStyle name="Normal 3" xfId="1"/>
    <cellStyle name="Normal 3 2" xfId="49"/>
    <cellStyle name="Normal 4" xfId="48"/>
    <cellStyle name="Normal 5" xfId="47"/>
    <cellStyle name="Normal 6" xfId="53"/>
    <cellStyle name="Note 2" xfId="39"/>
    <cellStyle name="Note 3" xfId="55"/>
    <cellStyle name="Output 2" xfId="40"/>
    <cellStyle name="Percent" xfId="51" builtinId="5"/>
    <cellStyle name="Percent 10 2" xfId="42"/>
    <cellStyle name="Percent 10 2 2" xfId="50"/>
    <cellStyle name="Percent 10 2 3" xfId="57"/>
    <cellStyle name="Percent 2" xfId="41"/>
    <cellStyle name="Percent 3" xfId="56"/>
    <cellStyle name="Title 2" xfId="43"/>
    <cellStyle name="Total 2" xfId="44"/>
    <cellStyle name="Warning Text 2" xfId="45"/>
  </cellStyles>
  <dxfs count="0"/>
  <tableStyles count="0" defaultTableStyle="TableStyleMedium2" defaultPivotStyle="PivotStyleLight16"/>
  <colors>
    <mruColors>
      <color rgb="FF05EB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Graphics!$A$2</c:f>
              <c:strCache>
                <c:ptCount val="1"/>
                <c:pt idx="0">
                  <c:v>July
Billing</c:v>
                </c:pt>
              </c:strCache>
            </c:strRef>
          </c:tx>
          <c:invertIfNegative val="0"/>
          <c:cat>
            <c:strRef>
              <c:f>Graphics!$C$1:$F$1</c:f>
              <c:strCache>
                <c:ptCount val="1"/>
                <c:pt idx="0">
                  <c:v>Billing vs. Receipts</c:v>
                </c:pt>
              </c:strCache>
            </c:strRef>
          </c:cat>
          <c:val>
            <c:numRef>
              <c:f>Graphics!$A$3</c:f>
              <c:numCache>
                <c:formatCode>_-* #,##0.00_-;\-* #,##0.00_-;_-* "-"??_-;_-@_-</c:formatCode>
                <c:ptCount val="1"/>
                <c:pt idx="0">
                  <c:v>17245678</c:v>
                </c:pt>
              </c:numCache>
            </c:numRef>
          </c:val>
        </c:ser>
        <c:ser>
          <c:idx val="1"/>
          <c:order val="1"/>
          <c:tx>
            <c:strRef>
              <c:f>Graphics!$B$2</c:f>
              <c:strCache>
                <c:ptCount val="1"/>
                <c:pt idx="0">
                  <c:v>July
Receipts</c:v>
                </c:pt>
              </c:strCache>
            </c:strRef>
          </c:tx>
          <c:invertIfNegative val="0"/>
          <c:cat>
            <c:strRef>
              <c:f>Graphics!$C$1:$F$1</c:f>
              <c:strCache>
                <c:ptCount val="1"/>
                <c:pt idx="0">
                  <c:v>Billing vs. Receipts</c:v>
                </c:pt>
              </c:strCache>
            </c:strRef>
          </c:cat>
          <c:val>
            <c:numRef>
              <c:f>Graphics!$B$3</c:f>
              <c:numCache>
                <c:formatCode>_-* #,##0.00_-;\-* #,##0.00_-;_-* "-"??_-;_-@_-</c:formatCode>
                <c:ptCount val="1"/>
                <c:pt idx="0">
                  <c:v>2773003.6599999997</c:v>
                </c:pt>
              </c:numCache>
            </c:numRef>
          </c:val>
        </c:ser>
        <c:ser>
          <c:idx val="2"/>
          <c:order val="2"/>
          <c:tx>
            <c:strRef>
              <c:f>Graphics!$C$2</c:f>
              <c:strCache>
                <c:ptCount val="1"/>
                <c:pt idx="0">
                  <c:v>August
Billing</c:v>
                </c:pt>
              </c:strCache>
            </c:strRef>
          </c:tx>
          <c:invertIfNegative val="0"/>
          <c:val>
            <c:numRef>
              <c:f>Graphics!$C$3</c:f>
              <c:numCache>
                <c:formatCode>_-* #,##0.00_-;\-* #,##0.00_-;_-* "-"??_-;_-@_-</c:formatCode>
                <c:ptCount val="1"/>
                <c:pt idx="0">
                  <c:v>279316</c:v>
                </c:pt>
              </c:numCache>
            </c:numRef>
          </c:val>
        </c:ser>
        <c:ser>
          <c:idx val="3"/>
          <c:order val="3"/>
          <c:tx>
            <c:strRef>
              <c:f>Graphics!$D$2</c:f>
              <c:strCache>
                <c:ptCount val="1"/>
                <c:pt idx="0">
                  <c:v>August
Receipts</c:v>
                </c:pt>
              </c:strCache>
            </c:strRef>
          </c:tx>
          <c:invertIfNegative val="0"/>
          <c:val>
            <c:numRef>
              <c:f>Graphics!$D$3</c:f>
              <c:numCache>
                <c:formatCode>_-* #,##0.00_-;\-* #,##0.00_-;_-* "-"??_-;_-@_-</c:formatCode>
                <c:ptCount val="1"/>
                <c:pt idx="0">
                  <c:v>3833661.2399999998</c:v>
                </c:pt>
              </c:numCache>
            </c:numRef>
          </c:val>
        </c:ser>
        <c:ser>
          <c:idx val="4"/>
          <c:order val="4"/>
          <c:tx>
            <c:strRef>
              <c:f>Graphics!$E$2</c:f>
              <c:strCache>
                <c:ptCount val="1"/>
                <c:pt idx="0">
                  <c:v>September
Billing</c:v>
                </c:pt>
              </c:strCache>
            </c:strRef>
          </c:tx>
          <c:invertIfNegative val="0"/>
          <c:val>
            <c:numRef>
              <c:f>Graphics!$E$3</c:f>
              <c:numCache>
                <c:formatCode>_-* #,##0.00_-;\-* #,##0.00_-;_-* "-"??_-;_-@_-</c:formatCode>
                <c:ptCount val="1"/>
                <c:pt idx="0">
                  <c:v>3669063</c:v>
                </c:pt>
              </c:numCache>
            </c:numRef>
          </c:val>
        </c:ser>
        <c:ser>
          <c:idx val="5"/>
          <c:order val="5"/>
          <c:tx>
            <c:strRef>
              <c:f>Graphics!$F$2</c:f>
              <c:strCache>
                <c:ptCount val="1"/>
                <c:pt idx="0">
                  <c:v>September
Receipts</c:v>
                </c:pt>
              </c:strCache>
            </c:strRef>
          </c:tx>
          <c:invertIfNegative val="0"/>
          <c:val>
            <c:numRef>
              <c:f>Graphics!$F$3</c:f>
              <c:numCache>
                <c:formatCode>_-* #,##0.00_-;\-* #,##0.00_-;_-* "-"??_-;_-@_-</c:formatCode>
                <c:ptCount val="1"/>
                <c:pt idx="0">
                  <c:v>3061534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90880"/>
        <c:axId val="82747392"/>
      </c:barChart>
      <c:catAx>
        <c:axId val="82490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747392"/>
        <c:crosses val="autoZero"/>
        <c:auto val="1"/>
        <c:lblAlgn val="ctr"/>
        <c:lblOffset val="100"/>
        <c:noMultiLvlLbl val="0"/>
      </c:catAx>
      <c:valAx>
        <c:axId val="82747392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82490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2602770680155"/>
          <c:y val="7.4548702245552642E-2"/>
          <c:w val="0.69306704211642423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Graphics!$B$7</c:f>
              <c:strCache>
                <c:ptCount val="1"/>
                <c:pt idx="0">
                  <c:v>Budgeted 2nd Quarter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Total</c:v>
              </c:pt>
            </c:strLit>
          </c:cat>
          <c:val>
            <c:numRef>
              <c:f>Graphics!$B$8</c:f>
              <c:numCache>
                <c:formatCode>_(* #,##0_);_(* \(#,##0\);_(* "-"_);_(@_)</c:formatCode>
                <c:ptCount val="1"/>
                <c:pt idx="0">
                  <c:v>48137286.666666672</c:v>
                </c:pt>
              </c:numCache>
            </c:numRef>
          </c:val>
        </c:ser>
        <c:ser>
          <c:idx val="1"/>
          <c:order val="1"/>
          <c:tx>
            <c:strRef>
              <c:f>Graphics!$C$7</c:f>
              <c:strCache>
                <c:ptCount val="1"/>
                <c:pt idx="0">
                  <c:v>Actual Income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Total</c:v>
              </c:pt>
            </c:strLit>
          </c:cat>
          <c:val>
            <c:numRef>
              <c:f>Graphics!$C$8</c:f>
              <c:numCache>
                <c:formatCode>_(* #,##0_);_(* \(#,##0\);_(* "-"_);_(@_)</c:formatCode>
                <c:ptCount val="1"/>
                <c:pt idx="0">
                  <c:v>39910355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75552"/>
        <c:axId val="85577088"/>
      </c:barChart>
      <c:catAx>
        <c:axId val="85575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85577088"/>
        <c:crosses val="autoZero"/>
        <c:auto val="1"/>
        <c:lblAlgn val="ctr"/>
        <c:lblOffset val="100"/>
        <c:noMultiLvlLbl val="0"/>
      </c:catAx>
      <c:valAx>
        <c:axId val="8557708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85575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057138222890673"/>
          <c:y val="0.42770450558901563"/>
          <c:w val="0.11819266271491344"/>
          <c:h val="0.30451100363031025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223475445460037"/>
          <c:y val="6.528944298629337E-2"/>
          <c:w val="0.70242775832796178"/>
          <c:h val="0.7305087796228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Graphics!$B$12</c:f>
              <c:strCache>
                <c:ptCount val="1"/>
                <c:pt idx="0">
                  <c:v>Budgeted 2nd Quarter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2734549061885293E-17"/>
                  <c:y val="-4.7128122315413308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Total</c:v>
              </c:pt>
            </c:strLit>
          </c:cat>
          <c:val>
            <c:numRef>
              <c:f>Graphics!$B$13</c:f>
              <c:numCache>
                <c:formatCode>_(* #,##0_);_(* \(#,##0\);_(* "-"_);_(@_)</c:formatCode>
                <c:ptCount val="1"/>
                <c:pt idx="0">
                  <c:v>31408837.623981599</c:v>
                </c:pt>
              </c:numCache>
            </c:numRef>
          </c:val>
        </c:ser>
        <c:ser>
          <c:idx val="1"/>
          <c:order val="1"/>
          <c:tx>
            <c:strRef>
              <c:f>Graphics!$C$12</c:f>
              <c:strCache>
                <c:ptCount val="1"/>
                <c:pt idx="0">
                  <c:v>Actual Expenditure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972027972027972E-2"/>
                  <c:y val="-3.5346091736559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Total</c:v>
              </c:pt>
            </c:strLit>
          </c:cat>
          <c:val>
            <c:numRef>
              <c:f>Graphics!$C$13</c:f>
              <c:numCache>
                <c:formatCode>_(* #,##0_);_(* \(#,##0\);_(* "-"_);_(@_)</c:formatCode>
                <c:ptCount val="1"/>
                <c:pt idx="0">
                  <c:v>39305289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8819328"/>
        <c:axId val="184364032"/>
        <c:axId val="0"/>
      </c:bar3DChart>
      <c:catAx>
        <c:axId val="14881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4364032"/>
        <c:crosses val="autoZero"/>
        <c:auto val="1"/>
        <c:lblAlgn val="ctr"/>
        <c:lblOffset val="100"/>
        <c:noMultiLvlLbl val="0"/>
      </c:catAx>
      <c:valAx>
        <c:axId val="1843640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48819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238955270451343"/>
          <c:y val="0.83349857038510855"/>
          <c:w val="0.31961510930014869"/>
          <c:h val="0.14203562564437811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</xdr:row>
      <xdr:rowOff>142875</xdr:rowOff>
    </xdr:from>
    <xdr:to>
      <xdr:col>14</xdr:col>
      <xdr:colOff>476250</xdr:colOff>
      <xdr:row>15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80962</xdr:rowOff>
    </xdr:from>
    <xdr:to>
      <xdr:col>7</xdr:col>
      <xdr:colOff>400050</xdr:colOff>
      <xdr:row>35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304800</xdr:colOff>
      <xdr:row>35</xdr:row>
      <xdr:rowOff>52387</xdr:rowOff>
    </xdr:from>
    <xdr:to>
      <xdr:col>10</xdr:col>
      <xdr:colOff>295275</xdr:colOff>
      <xdr:row>52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bi/Desktop/Mandla%2011-09-2013/C%20Schedule%20-%20Ver%202.4%20-AUGUS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C1-Sum"/>
      <sheetName val="C2-FinPerf SC"/>
      <sheetName val="C2C"/>
      <sheetName val="C3-FinPerf V"/>
      <sheetName val="C3C"/>
      <sheetName val="C4-FinPerf RE"/>
      <sheetName val="C5-Capex"/>
      <sheetName val="C5C"/>
      <sheetName val="C6-FinPos"/>
      <sheetName val="C7-CFlow"/>
      <sheetName val="SC1"/>
      <sheetName val="SC2"/>
      <sheetName val="SC3"/>
      <sheetName val="SC4"/>
      <sheetName val="SC5"/>
      <sheetName val="SC6"/>
      <sheetName val="SC7"/>
      <sheetName val="SC8"/>
      <sheetName val="SC9"/>
      <sheetName val="SC10"/>
      <sheetName val="SC11"/>
      <sheetName val="SC12"/>
      <sheetName val="SC13a"/>
      <sheetName val="SC13b"/>
      <sheetName val="SC13c"/>
      <sheetName val="SC13d"/>
      <sheetName val="SC71charts"/>
    </sheetNames>
    <sheetDataSet>
      <sheetData sheetId="0" refreshError="1"/>
      <sheetData sheetId="1" refreshError="1"/>
      <sheetData sheetId="2" refreshError="1">
        <row r="2">
          <cell r="B2" t="str">
            <v>2012/13</v>
          </cell>
        </row>
        <row r="3">
          <cell r="B3" t="str">
            <v>Budget Year 2013/14</v>
          </cell>
        </row>
        <row r="27">
          <cell r="B27" t="str">
            <v>Description</v>
          </cell>
        </row>
        <row r="61">
          <cell r="B61" t="str">
            <v>M02 August</v>
          </cell>
        </row>
        <row r="73">
          <cell r="B73" t="str">
            <v>FS195 Phumelela</v>
          </cell>
        </row>
        <row r="86">
          <cell r="B86" t="str">
            <v>Supporting Table SC3 Monthly Budget Statement - aged debtors</v>
          </cell>
        </row>
        <row r="87">
          <cell r="B87" t="str">
            <v xml:space="preserve">Supporting Table SC4 Monthly Budget Statement - aged creditors </v>
          </cell>
        </row>
        <row r="88">
          <cell r="B88" t="str">
            <v xml:space="preserve">Supporting Table SC5 Monthly Budget Statement - investment portfolio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K53"/>
  <sheetViews>
    <sheetView workbookViewId="0">
      <pane xSplit="1" ySplit="4" topLeftCell="B42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40.42578125" customWidth="1"/>
    <col min="2" max="2" width="7.140625" bestFit="1" customWidth="1"/>
    <col min="3" max="3" width="7.85546875" bestFit="1" customWidth="1"/>
    <col min="4" max="4" width="7.85546875" customWidth="1"/>
    <col min="5" max="5" width="8.5703125" bestFit="1" customWidth="1"/>
    <col min="6" max="6" width="8.5703125" customWidth="1"/>
    <col min="7" max="8" width="8.5703125" bestFit="1" customWidth="1"/>
    <col min="9" max="9" width="9" bestFit="1" customWidth="1"/>
    <col min="10" max="10" width="9.85546875" bestFit="1" customWidth="1"/>
    <col min="11" max="11" width="7" bestFit="1" customWidth="1"/>
  </cols>
  <sheetData>
    <row r="1" spans="1:11" x14ac:dyDescent="0.25">
      <c r="A1" s="84" t="s">
        <v>377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x14ac:dyDescent="0.25">
      <c r="A2" s="748" t="s">
        <v>0</v>
      </c>
      <c r="B2" s="46" t="s">
        <v>370</v>
      </c>
      <c r="C2" s="750" t="s">
        <v>369</v>
      </c>
      <c r="D2" s="751"/>
      <c r="E2" s="751"/>
      <c r="F2" s="751"/>
      <c r="G2" s="751"/>
      <c r="H2" s="751"/>
      <c r="I2" s="751"/>
      <c r="J2" s="751"/>
      <c r="K2" s="752"/>
    </row>
    <row r="3" spans="1:11" ht="25.5" x14ac:dyDescent="0.25">
      <c r="A3" s="749"/>
      <c r="B3" s="47" t="s">
        <v>3</v>
      </c>
      <c r="C3" s="58" t="s">
        <v>4</v>
      </c>
      <c r="D3" s="523" t="s">
        <v>371</v>
      </c>
      <c r="E3" s="40" t="s">
        <v>372</v>
      </c>
      <c r="F3" s="40" t="s">
        <v>373</v>
      </c>
      <c r="G3" s="40" t="s">
        <v>374</v>
      </c>
      <c r="H3" s="40" t="s">
        <v>368</v>
      </c>
      <c r="I3" s="40" t="s">
        <v>9</v>
      </c>
      <c r="J3" s="64" t="s">
        <v>9</v>
      </c>
      <c r="K3" s="48" t="s">
        <v>10</v>
      </c>
    </row>
    <row r="4" spans="1:11" x14ac:dyDescent="0.25">
      <c r="A4" s="51" t="s">
        <v>11</v>
      </c>
      <c r="B4" s="35"/>
      <c r="C4" s="79"/>
      <c r="D4" s="524"/>
      <c r="E4" s="39"/>
      <c r="F4" s="39"/>
      <c r="G4" s="39"/>
      <c r="H4" s="39"/>
      <c r="I4" s="39"/>
      <c r="J4" s="82" t="s">
        <v>12</v>
      </c>
      <c r="K4" s="80"/>
    </row>
    <row r="5" spans="1:11" x14ac:dyDescent="0.25">
      <c r="A5" s="45" t="s">
        <v>57</v>
      </c>
      <c r="B5" s="49"/>
      <c r="C5" s="52"/>
      <c r="D5" s="525"/>
      <c r="E5" s="53"/>
      <c r="F5" s="53"/>
      <c r="G5" s="53"/>
      <c r="H5" s="53"/>
      <c r="I5" s="53"/>
      <c r="J5" s="59"/>
      <c r="K5" s="54"/>
    </row>
    <row r="6" spans="1:11" x14ac:dyDescent="0.25">
      <c r="A6" s="42" t="s">
        <v>14</v>
      </c>
      <c r="B6" s="100">
        <v>0</v>
      </c>
      <c r="C6" s="692">
        <v>11992790</v>
      </c>
      <c r="D6" s="526">
        <f>+'C4 Fin Perf'!F6</f>
        <v>497090</v>
      </c>
      <c r="E6" s="526">
        <f>+'C4 Fin Perf'!I6</f>
        <v>476715</v>
      </c>
      <c r="F6" s="526">
        <f>+'C4 Fin Perf'!L6</f>
        <v>500090</v>
      </c>
      <c r="G6" s="89">
        <f t="shared" ref="G6:G12" si="0">SUM(D6:F6)</f>
        <v>1473895</v>
      </c>
      <c r="H6" s="102">
        <v>1971391</v>
      </c>
      <c r="I6" s="89">
        <f>H6-G6</f>
        <v>497496</v>
      </c>
      <c r="J6" s="94">
        <f>I6/H6</f>
        <v>0.25235785290690688</v>
      </c>
      <c r="K6" s="99">
        <f>D6</f>
        <v>497090</v>
      </c>
    </row>
    <row r="7" spans="1:11" x14ac:dyDescent="0.25">
      <c r="A7" s="42" t="s">
        <v>58</v>
      </c>
      <c r="B7" s="100">
        <v>0</v>
      </c>
      <c r="C7" s="692">
        <v>30373821</v>
      </c>
      <c r="D7" s="526">
        <f>+'C4 Fin Perf'!F8+'C4 Fin Perf'!F9+'C4 Fin Perf'!F10+'C4 Fin Perf'!F11+'C4 Fin Perf'!F12</f>
        <v>2904108</v>
      </c>
      <c r="E7" s="526">
        <f>+'C4 Fin Perf'!I8+'C4 Fin Perf'!I9+'C4 Fin Perf'!I10+'C4 Fin Perf'!I11+'C4 Fin Perf'!I12</f>
        <v>4188059</v>
      </c>
      <c r="F7" s="526">
        <f>+'C4 Fin Perf'!L8+'C4 Fin Perf'!L9+'C4 Fin Perf'!L10+'C4 Fin Perf'!L11+'C4 Fin Perf'!L12</f>
        <v>2655271</v>
      </c>
      <c r="G7" s="89">
        <f t="shared" si="0"/>
        <v>9747438</v>
      </c>
      <c r="H7" s="102">
        <v>8319341</v>
      </c>
      <c r="I7" s="89">
        <f>H7-G7</f>
        <v>-1428097</v>
      </c>
      <c r="J7" s="65">
        <f>I7/H7</f>
        <v>-0.17165987065562044</v>
      </c>
      <c r="K7" s="99">
        <f t="shared" ref="K7:K10" si="1">D7</f>
        <v>2904108</v>
      </c>
    </row>
    <row r="8" spans="1:11" x14ac:dyDescent="0.25">
      <c r="A8" s="42" t="s">
        <v>59</v>
      </c>
      <c r="B8" s="100">
        <v>0</v>
      </c>
      <c r="C8" s="692">
        <v>244216</v>
      </c>
      <c r="D8" s="526">
        <f>+'C4 Fin Perf'!F14+'C4 Fin Perf'!F15</f>
        <v>855682</v>
      </c>
      <c r="E8" s="526">
        <f>+'C4 Fin Perf'!I14+'C4 Fin Perf'!I15</f>
        <v>914501</v>
      </c>
      <c r="F8" s="526">
        <f>+'C4 Fin Perf'!L14+'C4 Fin Perf'!L15</f>
        <v>929879</v>
      </c>
      <c r="G8" s="89">
        <f t="shared" si="0"/>
        <v>2700062</v>
      </c>
      <c r="H8" s="102">
        <v>279250</v>
      </c>
      <c r="I8" s="89">
        <f>H8-G8</f>
        <v>-2420812</v>
      </c>
      <c r="J8" s="65">
        <f>I8/H8</f>
        <v>-8.668977618621307</v>
      </c>
      <c r="K8" s="99">
        <f t="shared" si="1"/>
        <v>855682</v>
      </c>
    </row>
    <row r="9" spans="1:11" x14ac:dyDescent="0.25">
      <c r="A9" s="42" t="s">
        <v>29</v>
      </c>
      <c r="B9" s="100">
        <v>0</v>
      </c>
      <c r="C9" s="692">
        <v>62840000</v>
      </c>
      <c r="D9" s="526">
        <f>+'C4 Fin Perf'!F20</f>
        <v>0</v>
      </c>
      <c r="E9" s="526">
        <f>+'C4 Fin Perf'!I20</f>
        <v>450000</v>
      </c>
      <c r="F9" s="526">
        <f>+'C4 Fin Perf'!L20</f>
        <v>18191000</v>
      </c>
      <c r="G9" s="89">
        <f t="shared" si="0"/>
        <v>18641000</v>
      </c>
      <c r="H9" s="102">
        <v>15774700</v>
      </c>
      <c r="I9" s="89">
        <f>H9-G9</f>
        <v>-2866300</v>
      </c>
      <c r="J9" s="65">
        <f>I9/H9</f>
        <v>-0.18170234616189215</v>
      </c>
      <c r="K9" s="99">
        <f t="shared" si="1"/>
        <v>0</v>
      </c>
    </row>
    <row r="10" spans="1:11" x14ac:dyDescent="0.25">
      <c r="A10" s="81" t="s">
        <v>60</v>
      </c>
      <c r="B10" s="103">
        <v>0</v>
      </c>
      <c r="C10" s="693">
        <v>20235653</v>
      </c>
      <c r="D10" s="527">
        <f>+'C4 Fin Perf'!F13+'C4 Fin Perf'!F16+'C4 Fin Perf'!F17+'C4 Fin Perf'!F18+'C4 Fin Perf'!F19+'C4 Fin Perf'!F21</f>
        <v>12988798</v>
      </c>
      <c r="E10" s="527">
        <f>+'C4 Fin Perf'!I13+'C4 Fin Perf'!I16+'C4 Fin Perf'!I17+'C4 Fin Perf'!I18+'C4 Fin Perf'!I19+'C4 Fin Perf'!I21</f>
        <v>-5749959</v>
      </c>
      <c r="F10" s="527">
        <f>+'C4 Fin Perf'!L13+'C4 Fin Perf'!L16+'C4 Fin Perf'!L17+'C4 Fin Perf'!L18+'C4 Fin Perf'!L19+'C4 Fin Perf'!L21</f>
        <v>109121</v>
      </c>
      <c r="G10" s="90">
        <f t="shared" si="0"/>
        <v>7347960</v>
      </c>
      <c r="H10" s="105">
        <v>1126750</v>
      </c>
      <c r="I10" s="89">
        <f>H10-G10</f>
        <v>-6221210</v>
      </c>
      <c r="J10" s="66">
        <f>I10/H10</f>
        <v>-5.5213756378966057</v>
      </c>
      <c r="K10" s="99">
        <f t="shared" si="1"/>
        <v>12988798</v>
      </c>
    </row>
    <row r="11" spans="1:11" ht="25.5" x14ac:dyDescent="0.25">
      <c r="A11" s="92" t="s">
        <v>32</v>
      </c>
      <c r="B11" s="651">
        <f>SUM(B6:B10)</f>
        <v>0</v>
      </c>
      <c r="C11" s="652">
        <f>SUM(C6:C10)</f>
        <v>125686480</v>
      </c>
      <c r="D11" s="653">
        <f>SUM(D6:D10)</f>
        <v>17245678</v>
      </c>
      <c r="E11" s="653">
        <f>SUM(E6:E10)</f>
        <v>279316</v>
      </c>
      <c r="F11" s="653">
        <f>SUM(F6:F10)</f>
        <v>22385361</v>
      </c>
      <c r="G11" s="653">
        <f t="shared" si="0"/>
        <v>39910355</v>
      </c>
      <c r="H11" s="653">
        <f>SUM(H6:H10)</f>
        <v>27471432</v>
      </c>
      <c r="I11" s="653">
        <f>SUM(I6:I10)</f>
        <v>-12438923</v>
      </c>
      <c r="J11" s="654">
        <f>IF(I11=0,"",I11/H11)</f>
        <v>-0.45279485248530182</v>
      </c>
      <c r="K11" s="653">
        <f>SUM(K6:K10)</f>
        <v>17245678</v>
      </c>
    </row>
    <row r="12" spans="1:11" x14ac:dyDescent="0.25">
      <c r="A12" s="42" t="s">
        <v>61</v>
      </c>
      <c r="B12" s="100">
        <v>0</v>
      </c>
      <c r="C12" s="694">
        <v>66871104.846571989</v>
      </c>
      <c r="D12" s="526">
        <f>+'C4 Fin Perf'!F26</f>
        <v>4232910</v>
      </c>
      <c r="E12" s="526">
        <f>+'C4 Fin Perf'!I26</f>
        <v>4391119</v>
      </c>
      <c r="F12" s="526">
        <f>+'C4 Fin Perf'!L26</f>
        <v>4781868</v>
      </c>
      <c r="G12" s="89">
        <f t="shared" si="0"/>
        <v>13405897</v>
      </c>
      <c r="H12" s="102">
        <v>12882278.75</v>
      </c>
      <c r="I12" s="89">
        <f>H12-G12</f>
        <v>-523618.25</v>
      </c>
      <c r="J12" s="65">
        <f>I12/H12</f>
        <v>-4.0646399613111929E-2</v>
      </c>
      <c r="K12" s="99">
        <f t="shared" ref="K12:K18" si="2">D12</f>
        <v>4232910</v>
      </c>
    </row>
    <row r="13" spans="1:11" x14ac:dyDescent="0.25">
      <c r="A13" s="42" t="s">
        <v>62</v>
      </c>
      <c r="B13" s="100">
        <v>0</v>
      </c>
      <c r="C13" s="694">
        <v>4804729.9032120006</v>
      </c>
      <c r="D13" s="526">
        <f>+'C4 Fin Perf'!F27</f>
        <v>381197</v>
      </c>
      <c r="E13" s="526">
        <f>+'C4 Fin Perf'!I27</f>
        <v>383478</v>
      </c>
      <c r="F13" s="526">
        <f>+'C4 Fin Perf'!L27</f>
        <v>354644</v>
      </c>
      <c r="G13" s="89">
        <f t="shared" ref="G13:G18" si="3">SUM(D13:F13)</f>
        <v>1119319</v>
      </c>
      <c r="H13" s="102">
        <v>1297469.5</v>
      </c>
      <c r="I13" s="89">
        <f t="shared" ref="I13:I18" si="4">H13-G13</f>
        <v>178150.5</v>
      </c>
      <c r="J13" s="65">
        <f>I13/H13</f>
        <v>0.13730611779313504</v>
      </c>
      <c r="K13" s="99">
        <f t="shared" si="2"/>
        <v>381197</v>
      </c>
    </row>
    <row r="14" spans="1:11" x14ac:dyDescent="0.25">
      <c r="A14" s="91" t="s">
        <v>37</v>
      </c>
      <c r="B14" s="100">
        <v>0</v>
      </c>
      <c r="C14" s="694">
        <v>1983741.9520602559</v>
      </c>
      <c r="D14" s="526">
        <f>+'C4 Fin Perf'!F29</f>
        <v>0</v>
      </c>
      <c r="E14" s="526">
        <f>+'C4 Fin Perf'!I29</f>
        <v>0</v>
      </c>
      <c r="F14" s="526">
        <f>+'C4 Fin Perf'!L29</f>
        <v>0</v>
      </c>
      <c r="G14" s="89">
        <f t="shared" si="3"/>
        <v>0</v>
      </c>
      <c r="H14" s="102">
        <v>0</v>
      </c>
      <c r="I14" s="89">
        <f t="shared" si="4"/>
        <v>0</v>
      </c>
      <c r="J14" s="65" t="s">
        <v>16</v>
      </c>
      <c r="K14" s="99">
        <f t="shared" si="2"/>
        <v>0</v>
      </c>
    </row>
    <row r="15" spans="1:11" x14ac:dyDescent="0.25">
      <c r="A15" s="42" t="s">
        <v>38</v>
      </c>
      <c r="B15" s="100">
        <v>0</v>
      </c>
      <c r="C15" s="694">
        <v>634347.0000000298</v>
      </c>
      <c r="D15" s="526">
        <f>+'C4 Fin Perf'!F30</f>
        <v>0</v>
      </c>
      <c r="E15" s="526">
        <f>+'C4 Fin Perf'!I30</f>
        <v>0</v>
      </c>
      <c r="F15" s="526">
        <f>+'C4 Fin Perf'!L30</f>
        <v>0</v>
      </c>
      <c r="G15" s="89">
        <f t="shared" si="3"/>
        <v>0</v>
      </c>
      <c r="H15" s="102">
        <v>52000</v>
      </c>
      <c r="I15" s="89">
        <f t="shared" si="4"/>
        <v>52000</v>
      </c>
      <c r="J15" s="65">
        <f>I15/H15</f>
        <v>1</v>
      </c>
      <c r="K15" s="99">
        <f t="shared" si="2"/>
        <v>0</v>
      </c>
    </row>
    <row r="16" spans="1:11" x14ac:dyDescent="0.25">
      <c r="A16" s="42" t="s">
        <v>63</v>
      </c>
      <c r="B16" s="100">
        <v>0</v>
      </c>
      <c r="C16" s="694">
        <v>17124680</v>
      </c>
      <c r="D16" s="526">
        <f>+'C4 Fin Perf'!F31+'C4 Fin Perf'!F32+'C4 Fin Perf'!F33</f>
        <v>6200657</v>
      </c>
      <c r="E16" s="526">
        <f>+'C4 Fin Perf'!I31+'C4 Fin Perf'!I32+'C4 Fin Perf'!I33</f>
        <v>2874463</v>
      </c>
      <c r="F16" s="526">
        <f>+'C4 Fin Perf'!L31+'C4 Fin Perf'!L32+'C4 Fin Perf'!L33</f>
        <v>1207747</v>
      </c>
      <c r="G16" s="89">
        <f t="shared" si="3"/>
        <v>10282867</v>
      </c>
      <c r="H16" s="102">
        <v>3904790.5</v>
      </c>
      <c r="I16" s="89">
        <f t="shared" si="4"/>
        <v>-6378076.5</v>
      </c>
      <c r="J16" s="94">
        <f>I16/H16</f>
        <v>-1.6333978737143517</v>
      </c>
      <c r="K16" s="99">
        <f t="shared" si="2"/>
        <v>6200657</v>
      </c>
    </row>
    <row r="17" spans="1:11" x14ac:dyDescent="0.25">
      <c r="A17" s="91" t="s">
        <v>42</v>
      </c>
      <c r="B17" s="100">
        <v>0</v>
      </c>
      <c r="C17" s="694">
        <v>0</v>
      </c>
      <c r="D17" s="526">
        <f>+'C4 Fin Perf'!F34</f>
        <v>0</v>
      </c>
      <c r="E17" s="526">
        <f>+'C4 Fin Perf'!I34</f>
        <v>0</v>
      </c>
      <c r="F17" s="526">
        <f>+'C4 Fin Perf'!L34</f>
        <v>0</v>
      </c>
      <c r="G17" s="89">
        <f t="shared" si="3"/>
        <v>0</v>
      </c>
      <c r="H17" s="102">
        <v>0</v>
      </c>
      <c r="I17" s="89">
        <f t="shared" si="4"/>
        <v>0</v>
      </c>
      <c r="J17" s="65"/>
      <c r="K17" s="99">
        <f t="shared" si="2"/>
        <v>0</v>
      </c>
    </row>
    <row r="18" spans="1:11" x14ac:dyDescent="0.25">
      <c r="A18" s="42" t="s">
        <v>43</v>
      </c>
      <c r="B18" s="100">
        <v>0</v>
      </c>
      <c r="C18" s="694">
        <v>34216746.794082135</v>
      </c>
      <c r="D18" s="526">
        <f>+'C4 Fin Perf'!F35</f>
        <v>6021597</v>
      </c>
      <c r="E18" s="526">
        <f>+'C4 Fin Perf'!I35</f>
        <v>5897649</v>
      </c>
      <c r="F18" s="526">
        <f>+'C4 Fin Perf'!L35</f>
        <v>2577960</v>
      </c>
      <c r="G18" s="89">
        <f t="shared" si="3"/>
        <v>14497206</v>
      </c>
      <c r="H18" s="102">
        <v>8643750</v>
      </c>
      <c r="I18" s="89">
        <f t="shared" si="4"/>
        <v>-5853456</v>
      </c>
      <c r="J18" s="65">
        <f>I18/H18</f>
        <v>-0.67718941431670276</v>
      </c>
      <c r="K18" s="99">
        <f t="shared" si="2"/>
        <v>6021597</v>
      </c>
    </row>
    <row r="19" spans="1:11" x14ac:dyDescent="0.25">
      <c r="A19" s="93" t="s">
        <v>45</v>
      </c>
      <c r="B19" s="655">
        <f t="shared" ref="B19:I19" si="5">SUM(B12:B18)</f>
        <v>0</v>
      </c>
      <c r="C19" s="656">
        <f t="shared" si="5"/>
        <v>125635350.49592641</v>
      </c>
      <c r="D19" s="657">
        <f t="shared" si="5"/>
        <v>16836361</v>
      </c>
      <c r="E19" s="657">
        <f t="shared" si="5"/>
        <v>13546709</v>
      </c>
      <c r="F19" s="657">
        <f t="shared" si="5"/>
        <v>8922219</v>
      </c>
      <c r="G19" s="657">
        <f t="shared" si="5"/>
        <v>39305289</v>
      </c>
      <c r="H19" s="657">
        <f t="shared" si="5"/>
        <v>26780288.75</v>
      </c>
      <c r="I19" s="657">
        <f t="shared" si="5"/>
        <v>-12525000.25</v>
      </c>
      <c r="J19" s="658">
        <f>IF(I19=0,"",I19/H19)</f>
        <v>-0.46769474246240156</v>
      </c>
      <c r="K19" s="657">
        <f>SUM(K12:K18)</f>
        <v>16836361</v>
      </c>
    </row>
    <row r="20" spans="1:11" x14ac:dyDescent="0.25">
      <c r="A20" s="43" t="s">
        <v>46</v>
      </c>
      <c r="B20" s="659">
        <f t="shared" ref="B20:I20" si="6">+B11-B19</f>
        <v>0</v>
      </c>
      <c r="C20" s="660">
        <f t="shared" si="6"/>
        <v>51129.50407359004</v>
      </c>
      <c r="D20" s="661">
        <f t="shared" si="6"/>
        <v>409317</v>
      </c>
      <c r="E20" s="661">
        <f t="shared" si="6"/>
        <v>-13267393</v>
      </c>
      <c r="F20" s="661">
        <f t="shared" si="6"/>
        <v>13463142</v>
      </c>
      <c r="G20" s="661">
        <f t="shared" si="6"/>
        <v>605066</v>
      </c>
      <c r="H20" s="661">
        <f t="shared" si="6"/>
        <v>691143.25</v>
      </c>
      <c r="I20" s="661">
        <f t="shared" si="6"/>
        <v>86077.25</v>
      </c>
      <c r="J20" s="662">
        <f>IF(I20=0,"",I20/H20)</f>
        <v>0.12454328389953892</v>
      </c>
      <c r="K20" s="661">
        <f>+K11-K19</f>
        <v>409317</v>
      </c>
    </row>
    <row r="21" spans="1:11" x14ac:dyDescent="0.25">
      <c r="A21" s="42" t="s">
        <v>47</v>
      </c>
      <c r="B21" s="100">
        <v>0</v>
      </c>
      <c r="C21" s="101">
        <v>0</v>
      </c>
      <c r="D21" s="526">
        <v>0</v>
      </c>
      <c r="E21" s="89">
        <v>0</v>
      </c>
      <c r="F21" s="89">
        <v>0</v>
      </c>
      <c r="G21" s="89">
        <v>0</v>
      </c>
      <c r="H21" s="102">
        <v>0</v>
      </c>
      <c r="I21" s="89">
        <v>0</v>
      </c>
      <c r="J21" s="65" t="s">
        <v>16</v>
      </c>
      <c r="K21" s="99">
        <v>0</v>
      </c>
    </row>
    <row r="22" spans="1:11" x14ac:dyDescent="0.25">
      <c r="A22" s="42" t="s">
        <v>64</v>
      </c>
      <c r="B22" s="103">
        <v>0</v>
      </c>
      <c r="C22" s="104">
        <v>0</v>
      </c>
      <c r="D22" s="527">
        <v>0</v>
      </c>
      <c r="E22" s="90">
        <v>0</v>
      </c>
      <c r="F22" s="90">
        <v>0</v>
      </c>
      <c r="G22" s="90">
        <v>0</v>
      </c>
      <c r="H22" s="105">
        <v>0</v>
      </c>
      <c r="I22" s="90">
        <v>0</v>
      </c>
      <c r="J22" s="66" t="s">
        <v>16</v>
      </c>
      <c r="K22" s="106">
        <v>0</v>
      </c>
    </row>
    <row r="23" spans="1:11" x14ac:dyDescent="0.25">
      <c r="A23" s="85" t="s">
        <v>50</v>
      </c>
      <c r="B23" s="651">
        <f t="shared" ref="B23:K23" si="7">SUM(B20:B22)</f>
        <v>0</v>
      </c>
      <c r="C23" s="652">
        <f t="shared" si="7"/>
        <v>51129.50407359004</v>
      </c>
      <c r="D23" s="653">
        <f t="shared" si="7"/>
        <v>409317</v>
      </c>
      <c r="E23" s="653">
        <f t="shared" si="7"/>
        <v>-13267393</v>
      </c>
      <c r="F23" s="653">
        <f t="shared" si="7"/>
        <v>13463142</v>
      </c>
      <c r="G23" s="653">
        <f t="shared" si="7"/>
        <v>605066</v>
      </c>
      <c r="H23" s="653">
        <f t="shared" si="7"/>
        <v>691143.25</v>
      </c>
      <c r="I23" s="653">
        <f t="shared" si="7"/>
        <v>86077.25</v>
      </c>
      <c r="J23" s="653">
        <f t="shared" si="7"/>
        <v>0.12454328389953892</v>
      </c>
      <c r="K23" s="653">
        <f t="shared" si="7"/>
        <v>409317</v>
      </c>
    </row>
    <row r="24" spans="1:11" x14ac:dyDescent="0.25">
      <c r="A24" s="86" t="s">
        <v>55</v>
      </c>
      <c r="B24" s="100">
        <v>0</v>
      </c>
      <c r="C24" s="101">
        <v>0</v>
      </c>
      <c r="D24" s="526">
        <v>0</v>
      </c>
      <c r="E24" s="89">
        <v>0</v>
      </c>
      <c r="F24" s="89">
        <v>0</v>
      </c>
      <c r="G24" s="89">
        <v>0</v>
      </c>
      <c r="H24" s="102">
        <v>0</v>
      </c>
      <c r="I24" s="89">
        <v>0</v>
      </c>
      <c r="J24" s="65" t="s">
        <v>16</v>
      </c>
      <c r="K24" s="99">
        <v>0</v>
      </c>
    </row>
    <row r="25" spans="1:11" x14ac:dyDescent="0.25">
      <c r="A25" s="85" t="s">
        <v>56</v>
      </c>
      <c r="B25" s="663">
        <f t="shared" ref="B25:K25" si="8">SUM(B23:B24)</f>
        <v>0</v>
      </c>
      <c r="C25" s="664">
        <f t="shared" si="8"/>
        <v>51129.50407359004</v>
      </c>
      <c r="D25" s="661">
        <f t="shared" si="8"/>
        <v>409317</v>
      </c>
      <c r="E25" s="661">
        <f t="shared" si="8"/>
        <v>-13267393</v>
      </c>
      <c r="F25" s="661">
        <f t="shared" si="8"/>
        <v>13463142</v>
      </c>
      <c r="G25" s="661">
        <f t="shared" si="8"/>
        <v>605066</v>
      </c>
      <c r="H25" s="661">
        <f t="shared" si="8"/>
        <v>691143.25</v>
      </c>
      <c r="I25" s="661">
        <f t="shared" si="8"/>
        <v>86077.25</v>
      </c>
      <c r="J25" s="661">
        <f t="shared" si="8"/>
        <v>0.12454328389953892</v>
      </c>
      <c r="K25" s="661">
        <f t="shared" si="8"/>
        <v>409317</v>
      </c>
    </row>
    <row r="26" spans="1:11" x14ac:dyDescent="0.25">
      <c r="A26" s="44"/>
      <c r="B26" s="67"/>
      <c r="C26" s="68"/>
      <c r="D26" s="530"/>
      <c r="E26" s="38"/>
      <c r="F26" s="38"/>
      <c r="G26" s="38"/>
      <c r="H26" s="38"/>
      <c r="I26" s="38"/>
      <c r="J26" s="69"/>
      <c r="K26" s="70"/>
    </row>
    <row r="27" spans="1:11" x14ac:dyDescent="0.25">
      <c r="A27" s="41" t="s">
        <v>65</v>
      </c>
      <c r="B27" s="71"/>
      <c r="C27" s="72"/>
      <c r="D27" s="531"/>
      <c r="E27" s="37"/>
      <c r="F27" s="37"/>
      <c r="G27" s="37"/>
      <c r="H27" s="37"/>
      <c r="I27" s="37"/>
      <c r="J27" s="73"/>
      <c r="K27" s="74"/>
    </row>
    <row r="28" spans="1:11" x14ac:dyDescent="0.25">
      <c r="A28" s="43" t="s">
        <v>66</v>
      </c>
      <c r="B28" s="655">
        <v>0</v>
      </c>
      <c r="C28" s="665">
        <f>SUM(C29:C32)</f>
        <v>47529977</v>
      </c>
      <c r="D28" s="656">
        <f>+'C5 - CAPEX'!E42</f>
        <v>0</v>
      </c>
      <c r="E28" s="657">
        <f>+'C5 - CAPEX'!F42</f>
        <v>1928709</v>
      </c>
      <c r="F28" s="657">
        <f>+'C5 - CAPEX'!G42</f>
        <v>6280575</v>
      </c>
      <c r="G28" s="657">
        <f>SUM(D28:F28)</f>
        <v>8209284</v>
      </c>
      <c r="H28" s="666">
        <v>11791000.000000002</v>
      </c>
      <c r="I28" s="657">
        <v>90687.999999998137</v>
      </c>
      <c r="J28" s="667">
        <v>7.6912899669237655E-3</v>
      </c>
      <c r="K28" s="668">
        <v>35645064</v>
      </c>
    </row>
    <row r="29" spans="1:11" x14ac:dyDescent="0.25">
      <c r="A29" s="42" t="s">
        <v>67</v>
      </c>
      <c r="B29" s="100">
        <v>0</v>
      </c>
      <c r="C29" s="695">
        <v>47529977</v>
      </c>
      <c r="D29" s="526">
        <f>+'C5 - CAPEX'!E49</f>
        <v>0</v>
      </c>
      <c r="E29" s="526">
        <f>+'C5 - CAPEX'!F49</f>
        <v>1928709</v>
      </c>
      <c r="F29" s="526">
        <f>+'C5 - CAPEX'!G49</f>
        <v>6280575</v>
      </c>
      <c r="G29" s="89">
        <f>SUM(D29:F29)</f>
        <v>8209284</v>
      </c>
      <c r="H29" s="102">
        <v>7546166.666666667</v>
      </c>
      <c r="I29" s="89">
        <f>H29-G29</f>
        <v>-663117.33333333302</v>
      </c>
      <c r="J29" s="94">
        <f>I29/H29</f>
        <v>-8.7874726682421495E-2</v>
      </c>
      <c r="K29" s="99">
        <f>D29</f>
        <v>0</v>
      </c>
    </row>
    <row r="30" spans="1:11" x14ac:dyDescent="0.25">
      <c r="A30" s="42" t="s">
        <v>68</v>
      </c>
      <c r="B30" s="100">
        <v>0</v>
      </c>
      <c r="C30" s="101">
        <v>0</v>
      </c>
      <c r="D30" s="526">
        <f>+'C5 - CAPEX'!E50</f>
        <v>0</v>
      </c>
      <c r="E30" s="526">
        <f>+'C5 - CAPEX'!F50</f>
        <v>0</v>
      </c>
      <c r="F30" s="526">
        <f>+'C5 - CAPEX'!G50</f>
        <v>0</v>
      </c>
      <c r="G30" s="89">
        <f>SUM(D30:F30)</f>
        <v>0</v>
      </c>
      <c r="H30" s="102">
        <v>0</v>
      </c>
      <c r="I30" s="89">
        <v>0</v>
      </c>
      <c r="J30" s="65" t="s">
        <v>16</v>
      </c>
      <c r="K30" s="99">
        <v>0</v>
      </c>
    </row>
    <row r="31" spans="1:11" x14ac:dyDescent="0.25">
      <c r="A31" s="42" t="s">
        <v>69</v>
      </c>
      <c r="B31" s="100">
        <v>0</v>
      </c>
      <c r="C31" s="101">
        <v>0</v>
      </c>
      <c r="D31" s="526">
        <f>+'C5 - CAPEX'!E51</f>
        <v>0</v>
      </c>
      <c r="E31" s="526">
        <f>+'C5 - CAPEX'!F51</f>
        <v>0</v>
      </c>
      <c r="F31" s="526">
        <f>+'C5 - CAPEX'!G51</f>
        <v>0</v>
      </c>
      <c r="G31" s="89">
        <f>SUM(D31:F31)</f>
        <v>0</v>
      </c>
      <c r="H31" s="102">
        <v>0</v>
      </c>
      <c r="I31" s="89">
        <v>0</v>
      </c>
      <c r="J31" s="65" t="s">
        <v>16</v>
      </c>
      <c r="K31" s="99">
        <v>0</v>
      </c>
    </row>
    <row r="32" spans="1:11" x14ac:dyDescent="0.25">
      <c r="A32" s="42" t="s">
        <v>70</v>
      </c>
      <c r="B32" s="107">
        <v>0</v>
      </c>
      <c r="C32" s="108">
        <v>0</v>
      </c>
      <c r="D32" s="528">
        <f>+'C5 - CAPEX'!E52</f>
        <v>0</v>
      </c>
      <c r="E32" s="528">
        <f>+'C5 - CAPEX'!F52</f>
        <v>0</v>
      </c>
      <c r="F32" s="528">
        <f>+'C5 - CAPEX'!G52</f>
        <v>0</v>
      </c>
      <c r="G32" s="89">
        <f>SUM(D32:F32)</f>
        <v>0</v>
      </c>
      <c r="H32" s="110">
        <v>450000</v>
      </c>
      <c r="I32" s="109">
        <f>H32-G32</f>
        <v>450000</v>
      </c>
      <c r="J32" s="88">
        <f>I32/H32</f>
        <v>1</v>
      </c>
      <c r="K32" s="111">
        <v>0</v>
      </c>
    </row>
    <row r="33" spans="1:11" x14ac:dyDescent="0.25">
      <c r="A33" s="93" t="s">
        <v>71</v>
      </c>
      <c r="B33" s="669">
        <v>0</v>
      </c>
      <c r="C33" s="670">
        <f t="shared" ref="C33:H33" si="9">SUM(C29:C32)</f>
        <v>47529977</v>
      </c>
      <c r="D33" s="671">
        <f t="shared" si="9"/>
        <v>0</v>
      </c>
      <c r="E33" s="671">
        <f t="shared" si="9"/>
        <v>1928709</v>
      </c>
      <c r="F33" s="671">
        <f t="shared" si="9"/>
        <v>6280575</v>
      </c>
      <c r="G33" s="671">
        <f t="shared" si="9"/>
        <v>8209284</v>
      </c>
      <c r="H33" s="672">
        <f t="shared" si="9"/>
        <v>7996166.666666667</v>
      </c>
      <c r="I33" s="673">
        <f>G33-H33</f>
        <v>213117.33333333302</v>
      </c>
      <c r="J33" s="674">
        <f>IF(I33=0,"",I33/H33)</f>
        <v>2.6652437626362591E-2</v>
      </c>
      <c r="K33" s="675">
        <f>SUM(K29:K32)</f>
        <v>0</v>
      </c>
    </row>
    <row r="34" spans="1:11" x14ac:dyDescent="0.25">
      <c r="A34" s="87"/>
      <c r="B34" s="67"/>
      <c r="C34" s="68"/>
      <c r="D34" s="530"/>
      <c r="E34" s="38"/>
      <c r="F34" s="38"/>
      <c r="G34" s="38"/>
      <c r="H34" s="38"/>
      <c r="I34" s="38"/>
      <c r="J34" s="69"/>
      <c r="K34" s="70"/>
    </row>
    <row r="35" spans="1:11" x14ac:dyDescent="0.25">
      <c r="A35" s="45" t="s">
        <v>72</v>
      </c>
      <c r="B35" s="56"/>
      <c r="C35" s="55"/>
      <c r="D35" s="532"/>
      <c r="E35" s="534"/>
      <c r="F35" s="534"/>
      <c r="G35" s="36"/>
      <c r="H35" s="75"/>
      <c r="I35" s="75"/>
      <c r="J35" s="77"/>
      <c r="K35" s="60"/>
    </row>
    <row r="36" spans="1:11" x14ac:dyDescent="0.25">
      <c r="A36" s="42" t="s">
        <v>73</v>
      </c>
      <c r="B36" s="100">
        <v>0</v>
      </c>
      <c r="C36" s="696">
        <v>-7304972.1025464945</v>
      </c>
      <c r="D36" s="526">
        <v>0</v>
      </c>
      <c r="E36" s="534">
        <v>0</v>
      </c>
      <c r="F36" s="534">
        <v>0</v>
      </c>
      <c r="G36" s="89">
        <f>+'C6 - FIN POS'!F13</f>
        <v>326068375</v>
      </c>
      <c r="H36" s="75"/>
      <c r="I36" s="75"/>
      <c r="J36" s="77"/>
      <c r="K36" s="99">
        <v>0</v>
      </c>
    </row>
    <row r="37" spans="1:11" x14ac:dyDescent="0.25">
      <c r="A37" s="42" t="s">
        <v>74</v>
      </c>
      <c r="B37" s="100">
        <v>0</v>
      </c>
      <c r="C37" s="696">
        <v>662105379.04999995</v>
      </c>
      <c r="D37" s="526">
        <v>0</v>
      </c>
      <c r="E37" s="534">
        <v>0</v>
      </c>
      <c r="F37" s="534">
        <v>0</v>
      </c>
      <c r="G37" s="89">
        <f>+'C6 - FIN POS'!F25</f>
        <v>543209289</v>
      </c>
      <c r="H37" s="75"/>
      <c r="I37" s="75"/>
      <c r="J37" s="77"/>
      <c r="K37" s="99">
        <v>0</v>
      </c>
    </row>
    <row r="38" spans="1:11" x14ac:dyDescent="0.25">
      <c r="A38" s="42" t="s">
        <v>75</v>
      </c>
      <c r="B38" s="100">
        <v>0</v>
      </c>
      <c r="C38" s="696">
        <v>943608.21000000008</v>
      </c>
      <c r="D38" s="526">
        <v>0</v>
      </c>
      <c r="E38" s="534">
        <v>0</v>
      </c>
      <c r="F38" s="534">
        <v>0</v>
      </c>
      <c r="G38" s="89">
        <f>+'C6 - FIN POS'!F35</f>
        <v>302368562</v>
      </c>
      <c r="H38" s="75"/>
      <c r="I38" s="75"/>
      <c r="J38" s="77"/>
      <c r="K38" s="99">
        <v>0</v>
      </c>
    </row>
    <row r="39" spans="1:11" x14ac:dyDescent="0.25">
      <c r="A39" s="42" t="s">
        <v>76</v>
      </c>
      <c r="B39" s="100">
        <v>0</v>
      </c>
      <c r="C39" s="696">
        <v>31816215</v>
      </c>
      <c r="D39" s="526">
        <v>0</v>
      </c>
      <c r="E39" s="534">
        <v>0</v>
      </c>
      <c r="F39" s="534">
        <v>0</v>
      </c>
      <c r="G39" s="89">
        <f>+'C6 - FIN POS'!F40</f>
        <v>64189313</v>
      </c>
      <c r="H39" s="75"/>
      <c r="I39" s="75"/>
      <c r="J39" s="77"/>
      <c r="K39" s="99">
        <v>0</v>
      </c>
    </row>
    <row r="40" spans="1:11" x14ac:dyDescent="0.25">
      <c r="A40" s="93" t="s">
        <v>77</v>
      </c>
      <c r="B40" s="112">
        <v>0</v>
      </c>
      <c r="C40" s="113">
        <f>+C36+C37-C38-C39</f>
        <v>622040583.73745346</v>
      </c>
      <c r="D40" s="529">
        <v>0</v>
      </c>
      <c r="E40" s="535">
        <v>0</v>
      </c>
      <c r="F40" s="535">
        <v>0</v>
      </c>
      <c r="G40" s="97">
        <f>+G36+G37-G38-G39</f>
        <v>502719789</v>
      </c>
      <c r="H40" s="95"/>
      <c r="I40" s="95"/>
      <c r="J40" s="96"/>
      <c r="K40" s="98">
        <v>0</v>
      </c>
    </row>
    <row r="41" spans="1:11" x14ac:dyDescent="0.25">
      <c r="A41" s="44"/>
      <c r="B41" s="67"/>
      <c r="C41" s="68"/>
      <c r="D41" s="530"/>
      <c r="E41" s="536"/>
      <c r="F41" s="536"/>
      <c r="G41" s="38"/>
      <c r="H41" s="76"/>
      <c r="I41" s="76"/>
      <c r="J41" s="78"/>
      <c r="K41" s="70"/>
    </row>
    <row r="42" spans="1:11" x14ac:dyDescent="0.25">
      <c r="A42" s="41" t="s">
        <v>78</v>
      </c>
      <c r="B42" s="71"/>
      <c r="C42" s="72"/>
      <c r="D42" s="531"/>
      <c r="E42" s="37"/>
      <c r="F42" s="37"/>
      <c r="G42" s="37"/>
      <c r="H42" s="37"/>
      <c r="I42" s="37"/>
      <c r="J42" s="73"/>
      <c r="K42" s="74"/>
    </row>
    <row r="43" spans="1:11" x14ac:dyDescent="0.25">
      <c r="A43" s="42" t="s">
        <v>79</v>
      </c>
      <c r="B43" s="100">
        <v>0</v>
      </c>
      <c r="C43" s="697">
        <v>26647284.797453508</v>
      </c>
      <c r="D43" s="526">
        <f>+'C7 - CASHFLOW'!E18</f>
        <v>-4848000.9000000004</v>
      </c>
      <c r="E43" s="526">
        <f>+'C7 - CASHFLOW'!F18</f>
        <v>442162.04000000004</v>
      </c>
      <c r="F43" s="526">
        <f>+'C7 - CASHFLOW'!G18</f>
        <v>6762219</v>
      </c>
      <c r="G43" s="89">
        <f>+'C7 - CASHFLOW'!H18</f>
        <v>2356380.1399999992</v>
      </c>
      <c r="H43" s="102">
        <v>10519216.666666664</v>
      </c>
      <c r="I43" s="89">
        <f>G43-H43</f>
        <v>-8162836.5266666654</v>
      </c>
      <c r="J43" s="65">
        <f>I43/H43</f>
        <v>-0.77599281251930996</v>
      </c>
      <c r="K43" s="99">
        <f t="shared" ref="K43:K44" si="10">D43</f>
        <v>-4848000.9000000004</v>
      </c>
    </row>
    <row r="44" spans="1:11" x14ac:dyDescent="0.25">
      <c r="A44" s="42" t="s">
        <v>80</v>
      </c>
      <c r="B44" s="100">
        <v>0</v>
      </c>
      <c r="C44" s="697">
        <v>-47529977.740000002</v>
      </c>
      <c r="D44" s="526">
        <f>+'C7 - CASHFLOW'!E28</f>
        <v>0</v>
      </c>
      <c r="E44" s="526">
        <f>+'C7 - CASHFLOW'!F28</f>
        <v>-1928709</v>
      </c>
      <c r="F44" s="526">
        <f>+'C7 - CASHFLOW'!G28</f>
        <v>-6280576.0800000001</v>
      </c>
      <c r="G44" s="89">
        <f>+'C7 - CASHFLOW'!H28</f>
        <v>-8209285.0800000001</v>
      </c>
      <c r="H44" s="102">
        <v>-11791000</v>
      </c>
      <c r="I44" s="89">
        <f>G44-H44</f>
        <v>3581714.92</v>
      </c>
      <c r="J44" s="65">
        <f>I44/H44</f>
        <v>-0.30376684929183273</v>
      </c>
      <c r="K44" s="99">
        <f t="shared" si="10"/>
        <v>0</v>
      </c>
    </row>
    <row r="45" spans="1:11" x14ac:dyDescent="0.25">
      <c r="A45" s="42" t="s">
        <v>81</v>
      </c>
      <c r="B45" s="100">
        <v>0</v>
      </c>
      <c r="C45" s="697">
        <v>-920142.94</v>
      </c>
      <c r="D45" s="526">
        <f>+'C7 - CASHFLOW'!E37</f>
        <v>-102426</v>
      </c>
      <c r="E45" s="526">
        <f>+'C7 - CASHFLOW'!F37</f>
        <v>0</v>
      </c>
      <c r="F45" s="526">
        <f>+'C7 - CASHFLOW'!G37</f>
        <v>0</v>
      </c>
      <c r="G45" s="89">
        <f>+'C7 - CASHFLOW'!H37</f>
        <v>-102426</v>
      </c>
      <c r="H45" s="102">
        <v>0</v>
      </c>
      <c r="I45" s="89">
        <v>0</v>
      </c>
      <c r="J45" s="65" t="s">
        <v>16</v>
      </c>
      <c r="K45" s="99">
        <f>G45*12/9</f>
        <v>-136568</v>
      </c>
    </row>
    <row r="46" spans="1:11" x14ac:dyDescent="0.25">
      <c r="A46" s="43" t="s">
        <v>82</v>
      </c>
      <c r="B46" s="659">
        <v>0</v>
      </c>
      <c r="C46" s="664">
        <f>SUM(C43:C45)</f>
        <v>-21802835.882546496</v>
      </c>
      <c r="D46" s="664">
        <f>SUM(D43:D45)</f>
        <v>-4950426.9000000004</v>
      </c>
      <c r="E46" s="664">
        <f>SUM(E43:E45)</f>
        <v>-1486546.96</v>
      </c>
      <c r="F46" s="664">
        <f>SUM(F43:F45)</f>
        <v>481642.91999999993</v>
      </c>
      <c r="G46" s="664">
        <f>+'C7 - CASHFLOW'!H40+'C7 - CASHFLOW'!H39</f>
        <v>4169281.1199999992</v>
      </c>
      <c r="H46" s="663">
        <v>328535.75666665286</v>
      </c>
      <c r="I46" s="661">
        <v>14002180.243333347</v>
      </c>
      <c r="J46" s="680">
        <v>42.619958282168319</v>
      </c>
      <c r="K46" s="681">
        <v>14212741</v>
      </c>
    </row>
    <row r="47" spans="1:11" x14ac:dyDescent="0.25">
      <c r="A47" s="50"/>
      <c r="B47" s="67"/>
      <c r="C47" s="68"/>
      <c r="D47" s="530"/>
      <c r="E47" s="38"/>
      <c r="F47" s="38"/>
      <c r="G47" s="38"/>
      <c r="H47" s="38"/>
      <c r="I47" s="38"/>
      <c r="J47" s="69"/>
      <c r="K47" s="70"/>
    </row>
    <row r="48" spans="1:11" x14ac:dyDescent="0.25">
      <c r="A48" s="546" t="s">
        <v>83</v>
      </c>
      <c r="B48" s="676"/>
      <c r="C48" s="677"/>
      <c r="D48" s="676" t="s">
        <v>84</v>
      </c>
      <c r="E48" s="677" t="s">
        <v>85</v>
      </c>
      <c r="F48" s="678" t="s">
        <v>86</v>
      </c>
      <c r="G48" s="678" t="s">
        <v>87</v>
      </c>
      <c r="H48" s="678" t="s">
        <v>88</v>
      </c>
      <c r="I48" s="678" t="s">
        <v>89</v>
      </c>
      <c r="J48" s="678" t="s">
        <v>352</v>
      </c>
      <c r="K48" s="679" t="s">
        <v>92</v>
      </c>
    </row>
    <row r="49" spans="1:11" x14ac:dyDescent="0.25">
      <c r="A49" s="83" t="s">
        <v>93</v>
      </c>
      <c r="B49" s="56"/>
      <c r="C49" s="55"/>
      <c r="D49" s="532"/>
      <c r="E49" s="36"/>
      <c r="F49" s="36"/>
      <c r="G49" s="36"/>
      <c r="H49" s="36"/>
      <c r="I49" s="36"/>
      <c r="J49" s="65"/>
      <c r="K49" s="60"/>
    </row>
    <row r="50" spans="1:11" x14ac:dyDescent="0.25">
      <c r="A50" s="49" t="s">
        <v>94</v>
      </c>
      <c r="B50" s="100"/>
      <c r="C50" s="699">
        <v>3475525.16</v>
      </c>
      <c r="D50" s="526">
        <v>-287719.87000000005</v>
      </c>
      <c r="E50" s="89">
        <v>2588632.9</v>
      </c>
      <c r="F50" s="89">
        <v>1879400.01</v>
      </c>
      <c r="G50" s="89">
        <v>5293563.1900000004</v>
      </c>
      <c r="H50" s="102">
        <v>1648598.5799999998</v>
      </c>
      <c r="I50" s="89">
        <f>G50-H50</f>
        <v>3644964.6100000003</v>
      </c>
      <c r="J50" s="89">
        <f>I50/H50</f>
        <v>2.2109473186614057</v>
      </c>
      <c r="K50" s="99">
        <f t="shared" ref="K50:K52" si="11">D50</f>
        <v>-287719.87000000005</v>
      </c>
    </row>
    <row r="51" spans="1:11" x14ac:dyDescent="0.25">
      <c r="A51" s="83" t="s">
        <v>95</v>
      </c>
      <c r="B51" s="56"/>
      <c r="C51" s="698"/>
      <c r="D51" s="532"/>
      <c r="E51" s="36"/>
      <c r="F51" s="36"/>
      <c r="G51" s="36"/>
      <c r="H51" s="36"/>
      <c r="I51" s="36"/>
      <c r="J51" s="65"/>
      <c r="K51" s="60">
        <f t="shared" si="11"/>
        <v>0</v>
      </c>
    </row>
    <row r="52" spans="1:11" x14ac:dyDescent="0.25">
      <c r="A52" s="49" t="s">
        <v>96</v>
      </c>
      <c r="B52" s="100"/>
      <c r="C52" s="699">
        <v>669189</v>
      </c>
      <c r="D52" s="526">
        <v>1899959</v>
      </c>
      <c r="E52" s="89">
        <v>4666107</v>
      </c>
      <c r="F52" s="89">
        <v>2821020</v>
      </c>
      <c r="G52" s="89">
        <v>2345286</v>
      </c>
      <c r="H52" s="102">
        <v>0</v>
      </c>
      <c r="I52" s="89">
        <f>G52-H52</f>
        <v>2345286</v>
      </c>
      <c r="J52" s="89">
        <v>0</v>
      </c>
      <c r="K52" s="99">
        <f t="shared" si="11"/>
        <v>1899959</v>
      </c>
    </row>
    <row r="53" spans="1:11" x14ac:dyDescent="0.25">
      <c r="A53" s="50"/>
      <c r="B53" s="57"/>
      <c r="C53" s="61"/>
      <c r="D53" s="533"/>
      <c r="E53" s="62"/>
      <c r="F53" s="62"/>
      <c r="G53" s="62"/>
      <c r="H53" s="62"/>
      <c r="I53" s="62"/>
      <c r="J53" s="69"/>
      <c r="K53" s="63"/>
    </row>
  </sheetData>
  <mergeCells count="2">
    <mergeCell ref="A2:A3"/>
    <mergeCell ref="C2:K2"/>
  </mergeCells>
  <pageMargins left="0.7" right="0.7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L19"/>
  <sheetViews>
    <sheetView workbookViewId="0">
      <selection activeCell="L15" sqref="L15"/>
    </sheetView>
  </sheetViews>
  <sheetFormatPr defaultRowHeight="15" x14ac:dyDescent="0.25"/>
  <cols>
    <col min="1" max="1" width="29.140625" bestFit="1" customWidth="1"/>
    <col min="11" max="11" width="12.140625" customWidth="1"/>
  </cols>
  <sheetData>
    <row r="1" spans="1:12" x14ac:dyDescent="0.25">
      <c r="A1" s="773" t="s">
        <v>426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</row>
    <row r="2" spans="1:12" x14ac:dyDescent="0.25">
      <c r="A2" s="782" t="str">
        <f>desc</f>
        <v>Description</v>
      </c>
      <c r="B2" s="784" t="s">
        <v>304</v>
      </c>
      <c r="C2" s="463" t="str">
        <f>Head2</f>
        <v>Budget Year 2013/14</v>
      </c>
      <c r="D2" s="463"/>
      <c r="E2" s="463"/>
      <c r="F2" s="463"/>
      <c r="G2" s="463"/>
      <c r="H2" s="463"/>
      <c r="I2" s="463"/>
      <c r="J2" s="463"/>
      <c r="K2" s="464"/>
      <c r="L2" s="800" t="s">
        <v>431</v>
      </c>
    </row>
    <row r="3" spans="1:12" x14ac:dyDescent="0.25">
      <c r="A3" s="783"/>
      <c r="B3" s="785"/>
      <c r="C3" s="786" t="s">
        <v>305</v>
      </c>
      <c r="D3" s="788" t="s">
        <v>306</v>
      </c>
      <c r="E3" s="788" t="s">
        <v>307</v>
      </c>
      <c r="F3" s="788" t="s">
        <v>308</v>
      </c>
      <c r="G3" s="788" t="s">
        <v>309</v>
      </c>
      <c r="H3" s="788" t="s">
        <v>310</v>
      </c>
      <c r="I3" s="788" t="s">
        <v>311</v>
      </c>
      <c r="J3" s="778" t="s">
        <v>312</v>
      </c>
      <c r="K3" s="780" t="s">
        <v>313</v>
      </c>
      <c r="L3" s="801"/>
    </row>
    <row r="4" spans="1:12" x14ac:dyDescent="0.25">
      <c r="A4" s="465" t="s">
        <v>11</v>
      </c>
      <c r="B4" s="781"/>
      <c r="C4" s="787"/>
      <c r="D4" s="789"/>
      <c r="E4" s="789"/>
      <c r="F4" s="789"/>
      <c r="G4" s="789"/>
      <c r="H4" s="789"/>
      <c r="I4" s="789"/>
      <c r="J4" s="779"/>
      <c r="K4" s="781"/>
      <c r="L4" s="802"/>
    </row>
    <row r="5" spans="1:12" x14ac:dyDescent="0.25">
      <c r="A5" s="466" t="s">
        <v>314</v>
      </c>
      <c r="B5" s="467"/>
      <c r="C5" s="468"/>
      <c r="D5" s="469"/>
      <c r="E5" s="469"/>
      <c r="F5" s="469"/>
      <c r="G5" s="469"/>
      <c r="H5" s="469"/>
      <c r="I5" s="469"/>
      <c r="J5" s="470"/>
      <c r="K5" s="471"/>
      <c r="L5" s="721"/>
    </row>
    <row r="6" spans="1:12" x14ac:dyDescent="0.25">
      <c r="A6" s="472" t="s">
        <v>315</v>
      </c>
      <c r="B6" s="467" t="s">
        <v>316</v>
      </c>
      <c r="C6" s="473">
        <v>2101952.67</v>
      </c>
      <c r="D6" s="474">
        <v>2200060.96</v>
      </c>
      <c r="E6" s="474">
        <v>2463267.04</v>
      </c>
      <c r="F6" s="474">
        <v>3766255.11</v>
      </c>
      <c r="G6" s="474">
        <v>48829348.920000002</v>
      </c>
      <c r="H6" s="474">
        <v>0</v>
      </c>
      <c r="I6" s="474">
        <v>0</v>
      </c>
      <c r="J6" s="475">
        <v>0</v>
      </c>
      <c r="K6" s="476">
        <f>SUM(C6:J6)</f>
        <v>59360884.700000003</v>
      </c>
      <c r="L6" s="744">
        <v>38767000</v>
      </c>
    </row>
    <row r="7" spans="1:12" x14ac:dyDescent="0.25">
      <c r="A7" s="472" t="s">
        <v>317</v>
      </c>
      <c r="B7" s="467" t="s">
        <v>318</v>
      </c>
      <c r="C7" s="473">
        <v>0</v>
      </c>
      <c r="D7" s="474">
        <v>0</v>
      </c>
      <c r="E7" s="474">
        <v>0</v>
      </c>
      <c r="F7" s="474">
        <v>0</v>
      </c>
      <c r="G7" s="474">
        <v>36228534.119999997</v>
      </c>
      <c r="H7" s="474">
        <v>0</v>
      </c>
      <c r="I7" s="474">
        <v>0</v>
      </c>
      <c r="J7" s="475">
        <v>0</v>
      </c>
      <c r="K7" s="476">
        <f>SUM(C7:J7)</f>
        <v>36228534.119999997</v>
      </c>
      <c r="L7" s="744">
        <v>39296000</v>
      </c>
    </row>
    <row r="8" spans="1:12" x14ac:dyDescent="0.25">
      <c r="A8" s="472" t="s">
        <v>319</v>
      </c>
      <c r="B8" s="467" t="s">
        <v>320</v>
      </c>
      <c r="C8" s="473">
        <v>0</v>
      </c>
      <c r="D8" s="474">
        <v>0</v>
      </c>
      <c r="E8" s="474">
        <v>0</v>
      </c>
      <c r="F8" s="474">
        <v>0</v>
      </c>
      <c r="G8" s="474">
        <v>0</v>
      </c>
      <c r="H8" s="474">
        <v>0</v>
      </c>
      <c r="I8" s="474">
        <v>0</v>
      </c>
      <c r="J8" s="475">
        <v>0</v>
      </c>
      <c r="K8" s="476">
        <v>0</v>
      </c>
      <c r="L8" s="744">
        <v>0</v>
      </c>
    </row>
    <row r="9" spans="1:12" x14ac:dyDescent="0.25">
      <c r="A9" s="472" t="s">
        <v>321</v>
      </c>
      <c r="B9" s="467" t="s">
        <v>322</v>
      </c>
      <c r="C9" s="473">
        <v>0</v>
      </c>
      <c r="D9" s="474">
        <v>0</v>
      </c>
      <c r="E9" s="474">
        <v>0</v>
      </c>
      <c r="F9" s="474">
        <v>0</v>
      </c>
      <c r="G9" s="474">
        <v>0</v>
      </c>
      <c r="H9" s="474">
        <v>0</v>
      </c>
      <c r="I9" s="474">
        <v>0</v>
      </c>
      <c r="J9" s="475">
        <v>0</v>
      </c>
      <c r="K9" s="476">
        <v>0</v>
      </c>
      <c r="L9" s="744">
        <v>0</v>
      </c>
    </row>
    <row r="10" spans="1:12" x14ac:dyDescent="0.25">
      <c r="A10" s="472" t="s">
        <v>323</v>
      </c>
      <c r="B10" s="467" t="s">
        <v>324</v>
      </c>
      <c r="C10" s="473">
        <v>0</v>
      </c>
      <c r="D10" s="474">
        <v>0</v>
      </c>
      <c r="E10" s="474">
        <v>0</v>
      </c>
      <c r="F10" s="474">
        <v>0</v>
      </c>
      <c r="G10" s="474">
        <v>0</v>
      </c>
      <c r="H10" s="474">
        <v>0</v>
      </c>
      <c r="I10" s="474">
        <v>0</v>
      </c>
      <c r="J10" s="475">
        <v>0</v>
      </c>
      <c r="K10" s="476">
        <v>0</v>
      </c>
      <c r="L10" s="744">
        <v>0</v>
      </c>
    </row>
    <row r="11" spans="1:12" x14ac:dyDescent="0.25">
      <c r="A11" s="472" t="s">
        <v>325</v>
      </c>
      <c r="B11" s="467" t="s">
        <v>326</v>
      </c>
      <c r="C11" s="473">
        <v>0</v>
      </c>
      <c r="D11" s="474">
        <v>0</v>
      </c>
      <c r="E11" s="474">
        <v>0</v>
      </c>
      <c r="F11" s="474">
        <v>0</v>
      </c>
      <c r="G11" s="474">
        <v>0</v>
      </c>
      <c r="H11" s="474">
        <v>0</v>
      </c>
      <c r="I11" s="474">
        <v>0</v>
      </c>
      <c r="J11" s="475">
        <v>0</v>
      </c>
      <c r="K11" s="476">
        <v>0</v>
      </c>
      <c r="L11" s="744">
        <v>0</v>
      </c>
    </row>
    <row r="12" spans="1:12" x14ac:dyDescent="0.25">
      <c r="A12" s="472" t="s">
        <v>327</v>
      </c>
      <c r="B12" s="467" t="s">
        <v>328</v>
      </c>
      <c r="C12" s="473">
        <v>1021893.1800000002</v>
      </c>
      <c r="D12" s="474">
        <v>634648.38000000035</v>
      </c>
      <c r="E12" s="474">
        <v>411774.62000000011</v>
      </c>
      <c r="F12" s="474">
        <v>697395.4299999997</v>
      </c>
      <c r="G12" s="474">
        <v>6284964.2000000179</v>
      </c>
      <c r="H12" s="474">
        <v>0</v>
      </c>
      <c r="I12" s="474">
        <v>0</v>
      </c>
      <c r="J12" s="475">
        <v>0</v>
      </c>
      <c r="K12" s="476">
        <f>SUM(C12:J12)</f>
        <v>9050675.8100000173</v>
      </c>
      <c r="L12" s="744">
        <v>8816000</v>
      </c>
    </row>
    <row r="13" spans="1:12" x14ac:dyDescent="0.25">
      <c r="A13" s="472" t="s">
        <v>329</v>
      </c>
      <c r="B13" s="467" t="s">
        <v>330</v>
      </c>
      <c r="C13" s="473">
        <v>11161.03</v>
      </c>
      <c r="D13" s="474">
        <v>620479.36</v>
      </c>
      <c r="E13" s="474">
        <v>501726.58</v>
      </c>
      <c r="F13" s="474">
        <v>282099.02</v>
      </c>
      <c r="G13" s="474">
        <v>3745097.8</v>
      </c>
      <c r="H13" s="474">
        <v>0</v>
      </c>
      <c r="I13" s="474">
        <v>0</v>
      </c>
      <c r="J13" s="475">
        <v>0</v>
      </c>
      <c r="K13" s="476">
        <f>SUM(C13:J13)</f>
        <v>5160563.79</v>
      </c>
      <c r="L13" s="744">
        <v>1302000</v>
      </c>
    </row>
    <row r="14" spans="1:12" x14ac:dyDescent="0.25">
      <c r="A14" s="472" t="s">
        <v>116</v>
      </c>
      <c r="B14" s="467" t="s">
        <v>331</v>
      </c>
      <c r="C14" s="473">
        <v>0</v>
      </c>
      <c r="D14" s="474">
        <v>0</v>
      </c>
      <c r="E14" s="474">
        <v>0</v>
      </c>
      <c r="F14" s="474">
        <v>0</v>
      </c>
      <c r="G14" s="474">
        <v>0</v>
      </c>
      <c r="H14" s="474">
        <v>0</v>
      </c>
      <c r="I14" s="474">
        <v>0</v>
      </c>
      <c r="J14" s="475">
        <v>0</v>
      </c>
      <c r="K14" s="476">
        <v>0</v>
      </c>
      <c r="L14" s="744">
        <v>0</v>
      </c>
    </row>
    <row r="15" spans="1:12" x14ac:dyDescent="0.25">
      <c r="A15" s="477" t="s">
        <v>332</v>
      </c>
      <c r="B15" s="478" t="s">
        <v>333</v>
      </c>
      <c r="C15" s="593">
        <f>SUM(C6:C14)</f>
        <v>3135006.88</v>
      </c>
      <c r="D15" s="594">
        <f>SUM(D6:D14)</f>
        <v>3455188.7</v>
      </c>
      <c r="E15" s="594">
        <f>SUM(E6:E14)</f>
        <v>3376768.24</v>
      </c>
      <c r="F15" s="594">
        <f>SUM(F6:F14)</f>
        <v>4745749.5599999987</v>
      </c>
      <c r="G15" s="594">
        <f>SUM(G6:G14)</f>
        <v>95087945.040000007</v>
      </c>
      <c r="H15" s="594">
        <v>0</v>
      </c>
      <c r="I15" s="594">
        <v>0</v>
      </c>
      <c r="J15" s="595">
        <v>0</v>
      </c>
      <c r="K15" s="592">
        <f>SUM(C15:J15)</f>
        <v>109800658.42</v>
      </c>
      <c r="L15" s="595">
        <f>SUM(L6:L14)</f>
        <v>88181000</v>
      </c>
    </row>
    <row r="16" spans="1:12" ht="15.75" thickBot="1" x14ac:dyDescent="0.3"/>
    <row r="17" spans="1:11" x14ac:dyDescent="0.25">
      <c r="A17" s="559" t="s">
        <v>422</v>
      </c>
      <c r="B17" s="560"/>
      <c r="C17" s="560"/>
      <c r="D17" s="560"/>
      <c r="E17" s="560"/>
      <c r="F17" s="560"/>
      <c r="G17" s="560"/>
      <c r="H17" s="560"/>
      <c r="I17" s="560"/>
      <c r="J17" s="560"/>
      <c r="K17" s="565">
        <f>L15</f>
        <v>88181000</v>
      </c>
    </row>
    <row r="18" spans="1:11" x14ac:dyDescent="0.25">
      <c r="A18" s="561" t="s">
        <v>355</v>
      </c>
      <c r="B18" s="562"/>
      <c r="C18" s="562"/>
      <c r="D18" s="562"/>
      <c r="E18" s="562"/>
      <c r="F18" s="562"/>
      <c r="G18" s="562"/>
      <c r="H18" s="562"/>
      <c r="I18" s="562"/>
      <c r="J18" s="562"/>
      <c r="K18" s="566">
        <f>+K17-K19</f>
        <v>-21619658.420000002</v>
      </c>
    </row>
    <row r="19" spans="1:11" ht="15.75" thickBot="1" x14ac:dyDescent="0.3">
      <c r="A19" s="563" t="s">
        <v>423</v>
      </c>
      <c r="B19" s="564"/>
      <c r="C19" s="564"/>
      <c r="D19" s="564"/>
      <c r="E19" s="564"/>
      <c r="F19" s="564"/>
      <c r="G19" s="564"/>
      <c r="H19" s="564"/>
      <c r="I19" s="564"/>
      <c r="J19" s="564"/>
      <c r="K19" s="567">
        <f>+K15</f>
        <v>109800658.42</v>
      </c>
    </row>
  </sheetData>
  <mergeCells count="13">
    <mergeCell ref="L2:L4"/>
    <mergeCell ref="J3:J4"/>
    <mergeCell ref="K3:K4"/>
    <mergeCell ref="A1:K1"/>
    <mergeCell ref="A2:A3"/>
    <mergeCell ref="B2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J12"/>
  <sheetViews>
    <sheetView workbookViewId="0">
      <selection activeCell="H5" sqref="H5:J7"/>
    </sheetView>
  </sheetViews>
  <sheetFormatPr defaultRowHeight="15" x14ac:dyDescent="0.25"/>
  <cols>
    <col min="1" max="1" width="25.85546875" bestFit="1" customWidth="1"/>
    <col min="2" max="2" width="3.140625" bestFit="1" customWidth="1"/>
    <col min="3" max="3" width="8.42578125" bestFit="1" customWidth="1"/>
    <col min="4" max="4" width="13.5703125" bestFit="1" customWidth="1"/>
    <col min="5" max="5" width="8.28515625" bestFit="1" customWidth="1"/>
    <col min="6" max="6" width="8.140625" bestFit="1" customWidth="1"/>
    <col min="7" max="7" width="9" bestFit="1" customWidth="1"/>
    <col min="9" max="9" width="8.28515625" customWidth="1"/>
  </cols>
  <sheetData>
    <row r="1" spans="1:10" x14ac:dyDescent="0.25">
      <c r="A1" s="636" t="s">
        <v>427</v>
      </c>
      <c r="B1" s="636"/>
      <c r="C1" s="636"/>
      <c r="D1" s="636"/>
      <c r="E1" s="636"/>
      <c r="F1" s="636"/>
      <c r="G1" s="636"/>
      <c r="H1" s="636"/>
      <c r="I1" s="636"/>
      <c r="J1" s="636"/>
    </row>
    <row r="2" spans="1:10" ht="25.5" x14ac:dyDescent="0.25">
      <c r="A2" s="479" t="s">
        <v>334</v>
      </c>
      <c r="B2" s="784" t="s">
        <v>1</v>
      </c>
      <c r="C2" s="480" t="s">
        <v>335</v>
      </c>
      <c r="D2" s="790" t="s">
        <v>336</v>
      </c>
      <c r="E2" s="790" t="s">
        <v>337</v>
      </c>
      <c r="F2" s="790" t="s">
        <v>338</v>
      </c>
      <c r="G2" s="790" t="s">
        <v>339</v>
      </c>
      <c r="H2" s="790" t="s">
        <v>340</v>
      </c>
      <c r="I2" s="790" t="s">
        <v>341</v>
      </c>
      <c r="J2" s="792" t="s">
        <v>342</v>
      </c>
    </row>
    <row r="3" spans="1:10" x14ac:dyDescent="0.25">
      <c r="A3" s="465"/>
      <c r="B3" s="781"/>
      <c r="C3" s="481" t="s">
        <v>343</v>
      </c>
      <c r="D3" s="791"/>
      <c r="E3" s="791"/>
      <c r="F3" s="791"/>
      <c r="G3" s="791"/>
      <c r="H3" s="791"/>
      <c r="I3" s="791"/>
      <c r="J3" s="793"/>
    </row>
    <row r="4" spans="1:10" x14ac:dyDescent="0.25">
      <c r="A4" s="486" t="s">
        <v>344</v>
      </c>
      <c r="B4" s="467"/>
      <c r="C4" s="552"/>
      <c r="D4" s="553"/>
      <c r="E4" s="553"/>
      <c r="F4" s="553"/>
      <c r="G4" s="553"/>
      <c r="H4" s="553"/>
      <c r="I4" s="553"/>
      <c r="J4" s="554"/>
    </row>
    <row r="5" spans="1:10" x14ac:dyDescent="0.25">
      <c r="A5" s="487" t="s">
        <v>345</v>
      </c>
      <c r="B5" s="467"/>
      <c r="C5" s="482"/>
      <c r="D5" s="483"/>
      <c r="E5" s="483"/>
      <c r="F5" s="483">
        <v>35011.82</v>
      </c>
      <c r="G5" s="485">
        <v>0</v>
      </c>
      <c r="H5" s="474">
        <v>2467394.4</v>
      </c>
      <c r="I5" s="474">
        <v>-3189008.4600000004</v>
      </c>
      <c r="J5" s="475">
        <v>5656402.8600000003</v>
      </c>
    </row>
    <row r="6" spans="1:10" x14ac:dyDescent="0.25">
      <c r="A6" s="487" t="s">
        <v>347</v>
      </c>
      <c r="B6" s="467"/>
      <c r="C6" s="482"/>
      <c r="D6" s="483" t="s">
        <v>353</v>
      </c>
      <c r="E6" s="483" t="s">
        <v>346</v>
      </c>
      <c r="F6" s="483">
        <v>13343.22</v>
      </c>
      <c r="G6" s="485">
        <f>+F6/J6</f>
        <v>0.17927083933725566</v>
      </c>
      <c r="H6" s="474">
        <v>301879.81</v>
      </c>
      <c r="I6" s="474">
        <v>227449.3</v>
      </c>
      <c r="J6" s="475">
        <v>74430.509999999995</v>
      </c>
    </row>
    <row r="7" spans="1:10" x14ac:dyDescent="0.25">
      <c r="A7" s="487" t="s">
        <v>348</v>
      </c>
      <c r="B7" s="467"/>
      <c r="C7" s="482"/>
      <c r="D7" s="483" t="s">
        <v>354</v>
      </c>
      <c r="E7" s="483" t="s">
        <v>346</v>
      </c>
      <c r="F7" s="483">
        <v>269.62</v>
      </c>
      <c r="G7" s="485">
        <f>+F7/J7</f>
        <v>1.4576480841134633E-2</v>
      </c>
      <c r="H7" s="474">
        <v>111137</v>
      </c>
      <c r="I7" s="474">
        <v>92640.08</v>
      </c>
      <c r="J7" s="475">
        <v>18496.919999999998</v>
      </c>
    </row>
    <row r="8" spans="1:10" x14ac:dyDescent="0.25">
      <c r="A8" s="487"/>
      <c r="B8" s="467"/>
      <c r="C8" s="482"/>
      <c r="D8" s="483"/>
      <c r="E8" s="483"/>
      <c r="F8" s="483"/>
      <c r="G8" s="485"/>
      <c r="H8" s="474">
        <v>0</v>
      </c>
      <c r="I8" s="474">
        <v>0</v>
      </c>
      <c r="J8" s="475">
        <v>0</v>
      </c>
    </row>
    <row r="9" spans="1:10" x14ac:dyDescent="0.25">
      <c r="A9" s="487"/>
      <c r="B9" s="467"/>
      <c r="C9" s="482"/>
      <c r="D9" s="483"/>
      <c r="E9" s="483"/>
      <c r="F9" s="483"/>
      <c r="G9" s="485"/>
      <c r="H9" s="483">
        <v>0</v>
      </c>
      <c r="I9" s="483">
        <v>0</v>
      </c>
      <c r="J9" s="484">
        <v>0</v>
      </c>
    </row>
    <row r="10" spans="1:10" x14ac:dyDescent="0.25">
      <c r="A10" s="487"/>
      <c r="B10" s="467"/>
      <c r="C10" s="482"/>
      <c r="D10" s="483"/>
      <c r="E10" s="483"/>
      <c r="F10" s="483"/>
      <c r="G10" s="485"/>
      <c r="H10" s="483">
        <v>0</v>
      </c>
      <c r="I10" s="483">
        <v>0</v>
      </c>
      <c r="J10" s="484">
        <v>0</v>
      </c>
    </row>
    <row r="11" spans="1:10" x14ac:dyDescent="0.25">
      <c r="A11" s="487"/>
      <c r="B11" s="467"/>
      <c r="C11" s="555"/>
      <c r="D11" s="556"/>
      <c r="E11" s="556"/>
      <c r="F11" s="556"/>
      <c r="G11" s="557"/>
      <c r="H11" s="556">
        <v>0</v>
      </c>
      <c r="I11" s="556">
        <v>0</v>
      </c>
      <c r="J11" s="558">
        <v>0</v>
      </c>
    </row>
    <row r="12" spans="1:10" x14ac:dyDescent="0.25">
      <c r="A12" s="488" t="s">
        <v>349</v>
      </c>
      <c r="B12" s="489">
        <v>2</v>
      </c>
      <c r="C12" s="632"/>
      <c r="D12" s="633"/>
      <c r="E12" s="633"/>
      <c r="F12" s="633">
        <f>SUM(F5:F11)</f>
        <v>48624.66</v>
      </c>
      <c r="G12" s="634"/>
      <c r="H12" s="633">
        <f>SUM(H5:H11)</f>
        <v>2880411.21</v>
      </c>
      <c r="I12" s="633">
        <f>SUM(I5:I11)</f>
        <v>-2868919.0800000005</v>
      </c>
      <c r="J12" s="635">
        <f>SUM(J5:J11)</f>
        <v>5749330.29</v>
      </c>
    </row>
  </sheetData>
  <mergeCells count="8">
    <mergeCell ref="H2:H3"/>
    <mergeCell ref="I2:I3"/>
    <mergeCell ref="J2:J3"/>
    <mergeCell ref="B2:B3"/>
    <mergeCell ref="D2:D3"/>
    <mergeCell ref="E2:E3"/>
    <mergeCell ref="F2:F3"/>
    <mergeCell ref="G2:G3"/>
  </mergeCell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N29"/>
  <sheetViews>
    <sheetView workbookViewId="0">
      <selection activeCell="F8" sqref="F8"/>
    </sheetView>
  </sheetViews>
  <sheetFormatPr defaultRowHeight="15" x14ac:dyDescent="0.25"/>
  <cols>
    <col min="1" max="1" width="31.28515625" style="234" bestFit="1" customWidth="1"/>
    <col min="2" max="2" width="3.140625" style="234" bestFit="1" customWidth="1"/>
    <col min="3" max="3" width="6.85546875" style="234" bestFit="1" customWidth="1"/>
    <col min="4" max="4" width="11" style="234" bestFit="1" customWidth="1"/>
    <col min="5" max="8" width="10.28515625" style="234" bestFit="1" customWidth="1"/>
    <col min="9" max="9" width="6.85546875" style="838" customWidth="1"/>
    <col min="10" max="10" width="11" style="234" bestFit="1" customWidth="1"/>
  </cols>
  <sheetData>
    <row r="1" spans="1:10" x14ac:dyDescent="0.25">
      <c r="A1" s="770" t="s">
        <v>428</v>
      </c>
      <c r="B1" s="770"/>
      <c r="C1" s="770"/>
      <c r="D1" s="770"/>
      <c r="E1" s="770"/>
      <c r="F1" s="770"/>
      <c r="G1" s="770"/>
      <c r="H1" s="770"/>
      <c r="I1" s="770"/>
      <c r="J1" s="770"/>
    </row>
    <row r="2" spans="1:10" x14ac:dyDescent="0.25">
      <c r="A2" s="763" t="s">
        <v>0</v>
      </c>
      <c r="B2" s="767" t="s">
        <v>1</v>
      </c>
      <c r="C2" s="311" t="s">
        <v>370</v>
      </c>
      <c r="D2" s="320" t="s">
        <v>369</v>
      </c>
      <c r="E2" s="318"/>
      <c r="F2" s="318"/>
      <c r="G2" s="318"/>
      <c r="H2" s="318"/>
      <c r="I2" s="827"/>
      <c r="J2" s="319"/>
    </row>
    <row r="3" spans="1:10" ht="25.5" x14ac:dyDescent="0.25">
      <c r="A3" s="764"/>
      <c r="B3" s="768"/>
      <c r="C3" s="313" t="s">
        <v>3</v>
      </c>
      <c r="D3" s="317" t="s">
        <v>4</v>
      </c>
      <c r="E3" s="312" t="s">
        <v>6</v>
      </c>
      <c r="F3" s="312" t="s">
        <v>7</v>
      </c>
      <c r="G3" s="312" t="s">
        <v>8</v>
      </c>
      <c r="H3" s="312" t="s">
        <v>9</v>
      </c>
      <c r="I3" s="828" t="s">
        <v>9</v>
      </c>
      <c r="J3" s="314" t="s">
        <v>10</v>
      </c>
    </row>
    <row r="4" spans="1:10" x14ac:dyDescent="0.25">
      <c r="A4" s="321" t="s">
        <v>11</v>
      </c>
      <c r="B4" s="180"/>
      <c r="C4" s="322"/>
      <c r="D4" s="309"/>
      <c r="E4" s="323"/>
      <c r="F4" s="323"/>
      <c r="G4" s="323"/>
      <c r="H4" s="323"/>
      <c r="I4" s="829" t="s">
        <v>12</v>
      </c>
      <c r="J4" s="324"/>
    </row>
    <row r="5" spans="1:10" x14ac:dyDescent="0.25">
      <c r="A5" s="181" t="s">
        <v>256</v>
      </c>
      <c r="B5" s="315" t="s">
        <v>257</v>
      </c>
      <c r="C5" s="316"/>
      <c r="D5" s="308"/>
      <c r="E5" s="232"/>
      <c r="F5" s="232"/>
      <c r="G5" s="232"/>
      <c r="H5" s="232"/>
      <c r="I5" s="830"/>
      <c r="J5" s="28"/>
    </row>
    <row r="6" spans="1:10" x14ac:dyDescent="0.25">
      <c r="A6" s="173" t="s">
        <v>258</v>
      </c>
      <c r="B6" s="315"/>
      <c r="C6" s="316"/>
      <c r="D6" s="308"/>
      <c r="E6" s="232"/>
      <c r="F6" s="232"/>
      <c r="G6" s="232"/>
      <c r="H6" s="232"/>
      <c r="I6" s="830"/>
      <c r="J6" s="28"/>
    </row>
    <row r="7" spans="1:10" x14ac:dyDescent="0.25">
      <c r="A7" s="326" t="s">
        <v>259</v>
      </c>
      <c r="B7" s="315"/>
      <c r="C7" s="273">
        <v>0</v>
      </c>
      <c r="D7" s="811">
        <f>SUM(D8:D10)</f>
        <v>62840000</v>
      </c>
      <c r="E7" s="598">
        <f t="shared" ref="E7:J7" si="0">SUM(E8:E10)</f>
        <v>18191000</v>
      </c>
      <c r="F7" s="598">
        <f t="shared" si="0"/>
        <v>45830000</v>
      </c>
      <c r="G7" s="598">
        <f t="shared" si="0"/>
        <v>31420000</v>
      </c>
      <c r="H7" s="598">
        <f t="shared" si="0"/>
        <v>14410000</v>
      </c>
      <c r="I7" s="831">
        <f t="shared" si="0"/>
        <v>5.7654297614539942</v>
      </c>
      <c r="J7" s="812">
        <f t="shared" si="0"/>
        <v>62840000</v>
      </c>
    </row>
    <row r="8" spans="1:10" x14ac:dyDescent="0.25">
      <c r="A8" s="174" t="s">
        <v>260</v>
      </c>
      <c r="B8" s="315"/>
      <c r="C8" s="195">
        <v>0</v>
      </c>
      <c r="D8" s="809">
        <v>59830000</v>
      </c>
      <c r="E8" s="803">
        <v>18191000</v>
      </c>
      <c r="F8" s="803">
        <v>43120000</v>
      </c>
      <c r="G8" s="803">
        <f>D8/12*6</f>
        <v>29915000</v>
      </c>
      <c r="H8" s="804">
        <f>F8-G8</f>
        <v>13205000</v>
      </c>
      <c r="I8" s="832">
        <f>G8/H8</f>
        <v>2.2654297614539947</v>
      </c>
      <c r="J8" s="805">
        <f>D8</f>
        <v>59830000</v>
      </c>
    </row>
    <row r="9" spans="1:10" x14ac:dyDescent="0.25">
      <c r="A9" s="174" t="s">
        <v>261</v>
      </c>
      <c r="B9" s="315"/>
      <c r="C9" s="176">
        <v>0</v>
      </c>
      <c r="D9" s="810">
        <v>2010000</v>
      </c>
      <c r="E9" s="806">
        <v>0</v>
      </c>
      <c r="F9" s="806">
        <f>E9+2010000</f>
        <v>2010000</v>
      </c>
      <c r="G9" s="806">
        <f>D9/12*6</f>
        <v>1005000</v>
      </c>
      <c r="H9" s="807">
        <f>F9-G9</f>
        <v>1005000</v>
      </c>
      <c r="I9" s="833">
        <f t="shared" ref="I9:I10" si="1">G9/H9</f>
        <v>1</v>
      </c>
      <c r="J9" s="808">
        <f>D9</f>
        <v>2010000</v>
      </c>
    </row>
    <row r="10" spans="1:10" x14ac:dyDescent="0.25">
      <c r="A10" s="174" t="s">
        <v>264</v>
      </c>
      <c r="B10" s="315"/>
      <c r="C10" s="176">
        <v>0</v>
      </c>
      <c r="D10" s="810">
        <v>1000000</v>
      </c>
      <c r="E10" s="806">
        <v>0</v>
      </c>
      <c r="F10" s="806">
        <v>700000</v>
      </c>
      <c r="G10" s="806">
        <f>D10/12*6</f>
        <v>500000</v>
      </c>
      <c r="H10" s="807">
        <f>F10-G10</f>
        <v>200000</v>
      </c>
      <c r="I10" s="833">
        <f t="shared" si="1"/>
        <v>2.5</v>
      </c>
      <c r="J10" s="808">
        <f>D10</f>
        <v>1000000</v>
      </c>
    </row>
    <row r="11" spans="1:10" x14ac:dyDescent="0.25">
      <c r="A11" s="196"/>
      <c r="B11" s="315"/>
      <c r="C11" s="176">
        <v>0</v>
      </c>
      <c r="D11" s="810">
        <v>0</v>
      </c>
      <c r="E11" s="806">
        <v>0</v>
      </c>
      <c r="F11" s="806">
        <v>0</v>
      </c>
      <c r="G11" s="806">
        <v>0</v>
      </c>
      <c r="H11" s="807">
        <v>0</v>
      </c>
      <c r="I11" s="833" t="s">
        <v>16</v>
      </c>
      <c r="J11" s="808">
        <v>0</v>
      </c>
    </row>
    <row r="12" spans="1:10" x14ac:dyDescent="0.25">
      <c r="A12" s="271" t="s">
        <v>272</v>
      </c>
      <c r="B12" s="198">
        <v>5</v>
      </c>
      <c r="C12" s="236">
        <v>0</v>
      </c>
      <c r="D12" s="813">
        <f>SUM(D8:D11)</f>
        <v>62840000</v>
      </c>
      <c r="E12" s="814">
        <f t="shared" ref="E12:J12" si="2">SUM(E8:E11)</f>
        <v>18191000</v>
      </c>
      <c r="F12" s="814">
        <f t="shared" si="2"/>
        <v>45830000</v>
      </c>
      <c r="G12" s="814">
        <f t="shared" si="2"/>
        <v>31420000</v>
      </c>
      <c r="H12" s="814">
        <f t="shared" si="2"/>
        <v>14410000</v>
      </c>
      <c r="I12" s="834">
        <f t="shared" si="2"/>
        <v>5.7654297614539942</v>
      </c>
      <c r="J12" s="815">
        <f t="shared" si="2"/>
        <v>62840000</v>
      </c>
    </row>
    <row r="13" spans="1:10" x14ac:dyDescent="0.25">
      <c r="A13" s="310"/>
      <c r="B13" s="315"/>
      <c r="C13" s="233"/>
      <c r="D13" s="816"/>
      <c r="E13" s="807"/>
      <c r="F13" s="807"/>
      <c r="G13" s="807"/>
      <c r="H13" s="807"/>
      <c r="I13" s="833"/>
      <c r="J13" s="817"/>
    </row>
    <row r="14" spans="1:10" x14ac:dyDescent="0.25">
      <c r="A14" s="173" t="s">
        <v>273</v>
      </c>
      <c r="B14" s="315"/>
      <c r="C14" s="233"/>
      <c r="D14" s="816"/>
      <c r="E14" s="807"/>
      <c r="F14" s="807"/>
      <c r="G14" s="807"/>
      <c r="H14" s="807"/>
      <c r="I14" s="833"/>
      <c r="J14" s="817"/>
    </row>
    <row r="15" spans="1:10" x14ac:dyDescent="0.25">
      <c r="A15" s="326" t="s">
        <v>259</v>
      </c>
      <c r="B15" s="315"/>
      <c r="C15" s="273">
        <v>0</v>
      </c>
      <c r="D15" s="811">
        <f>SUM(D16:D17)</f>
        <v>47530000</v>
      </c>
      <c r="E15" s="598">
        <f>SUM(E16:E17)</f>
        <v>7603799</v>
      </c>
      <c r="F15" s="598">
        <f>SUM(F16:F17)</f>
        <v>21521950</v>
      </c>
      <c r="G15" s="598">
        <f>SUM(G16:G17)</f>
        <v>23765000</v>
      </c>
      <c r="H15" s="598">
        <f>SUM(H16:H17)</f>
        <v>-2243050</v>
      </c>
      <c r="I15" s="831">
        <v>3.2312211498111622E-2</v>
      </c>
      <c r="J15" s="812">
        <f>SUM(J16:J17)</f>
        <v>47530000</v>
      </c>
    </row>
    <row r="16" spans="1:10" x14ac:dyDescent="0.25">
      <c r="A16" s="174" t="s">
        <v>274</v>
      </c>
      <c r="B16" s="315"/>
      <c r="C16" s="195">
        <v>0</v>
      </c>
      <c r="D16" s="809">
        <v>20090000</v>
      </c>
      <c r="E16" s="803">
        <v>4540000</v>
      </c>
      <c r="F16" s="803">
        <v>12010000</v>
      </c>
      <c r="G16" s="803">
        <f>D16/12*6</f>
        <v>10045000</v>
      </c>
      <c r="H16" s="804">
        <f>F16-G16</f>
        <v>1965000</v>
      </c>
      <c r="I16" s="832">
        <f t="shared" ref="I16:I17" si="3">G16/H16</f>
        <v>5.111959287531807</v>
      </c>
      <c r="J16" s="805">
        <f>D16</f>
        <v>20090000</v>
      </c>
    </row>
    <row r="17" spans="1:14" x14ac:dyDescent="0.25">
      <c r="A17" s="174" t="s">
        <v>275</v>
      </c>
      <c r="B17" s="315"/>
      <c r="C17" s="176">
        <v>0</v>
      </c>
      <c r="D17" s="810">
        <v>27440000</v>
      </c>
      <c r="E17" s="806">
        <v>3063799</v>
      </c>
      <c r="F17" s="806">
        <v>9511950</v>
      </c>
      <c r="G17" s="806">
        <f>D17/12*6</f>
        <v>13720000</v>
      </c>
      <c r="H17" s="807">
        <f>F17-G17</f>
        <v>-4208050</v>
      </c>
      <c r="I17" s="700">
        <f t="shared" si="3"/>
        <v>-3.2604175330616321</v>
      </c>
      <c r="J17" s="808">
        <f>D17</f>
        <v>27440000</v>
      </c>
    </row>
    <row r="18" spans="1:14" x14ac:dyDescent="0.25">
      <c r="A18" s="178" t="s">
        <v>279</v>
      </c>
      <c r="B18" s="235">
        <v>5</v>
      </c>
      <c r="C18" s="272">
        <v>0</v>
      </c>
      <c r="D18" s="818">
        <f>SUM(D16:D17)</f>
        <v>47530000</v>
      </c>
      <c r="E18" s="819">
        <f t="shared" ref="E18:J18" si="4">SUM(E16:E17)</f>
        <v>7603799</v>
      </c>
      <c r="F18" s="819">
        <f t="shared" si="4"/>
        <v>21521950</v>
      </c>
      <c r="G18" s="819">
        <f t="shared" si="4"/>
        <v>23765000</v>
      </c>
      <c r="H18" s="819">
        <f t="shared" si="4"/>
        <v>-2243050</v>
      </c>
      <c r="I18" s="835">
        <f t="shared" si="4"/>
        <v>1.8515417544701749</v>
      </c>
      <c r="J18" s="820">
        <f t="shared" si="4"/>
        <v>47530000</v>
      </c>
      <c r="L18" s="580"/>
      <c r="M18" s="580"/>
      <c r="N18" s="580"/>
    </row>
    <row r="19" spans="1:14" x14ac:dyDescent="0.25">
      <c r="A19" s="172"/>
      <c r="B19" s="180"/>
      <c r="C19" s="231"/>
      <c r="D19" s="821"/>
      <c r="E19" s="822"/>
      <c r="F19" s="822"/>
      <c r="G19" s="822"/>
      <c r="H19" s="822"/>
      <c r="I19" s="836"/>
      <c r="J19" s="823"/>
      <c r="L19" s="580"/>
      <c r="M19" s="580"/>
      <c r="N19" s="580"/>
    </row>
    <row r="20" spans="1:14" x14ac:dyDescent="0.25">
      <c r="A20" s="270" t="s">
        <v>280</v>
      </c>
      <c r="B20" s="325">
        <v>5</v>
      </c>
      <c r="C20" s="168">
        <v>0</v>
      </c>
      <c r="D20" s="824">
        <f>D12+D18</f>
        <v>110370000</v>
      </c>
      <c r="E20" s="825">
        <f>E12+E18</f>
        <v>25794799</v>
      </c>
      <c r="F20" s="825">
        <f>F12+F18</f>
        <v>67351950</v>
      </c>
      <c r="G20" s="825">
        <f>G12+G18</f>
        <v>55185000</v>
      </c>
      <c r="H20" s="825">
        <f>H12+H18</f>
        <v>12166950</v>
      </c>
      <c r="I20" s="837">
        <v>0.43484388449060279</v>
      </c>
      <c r="J20" s="826">
        <f>J12+J18</f>
        <v>110370000</v>
      </c>
      <c r="L20" s="581">
        <f>L12+L18</f>
        <v>0</v>
      </c>
      <c r="M20" s="580"/>
      <c r="N20" s="580"/>
    </row>
    <row r="21" spans="1:14" x14ac:dyDescent="0.25">
      <c r="L21" s="582">
        <f>L13+L19</f>
        <v>0</v>
      </c>
      <c r="M21" s="580"/>
      <c r="N21" s="582"/>
    </row>
    <row r="22" spans="1:14" x14ac:dyDescent="0.25">
      <c r="L22" s="580"/>
      <c r="M22" s="580"/>
      <c r="N22" s="580"/>
    </row>
    <row r="23" spans="1:14" x14ac:dyDescent="0.25">
      <c r="L23" s="580"/>
      <c r="M23" s="580"/>
      <c r="N23" s="580"/>
    </row>
    <row r="24" spans="1:14" x14ac:dyDescent="0.25">
      <c r="L24" s="580"/>
      <c r="M24" s="580"/>
      <c r="N24" s="580"/>
    </row>
    <row r="25" spans="1:14" x14ac:dyDescent="0.25">
      <c r="L25" s="580"/>
      <c r="M25" s="580"/>
      <c r="N25" s="580"/>
    </row>
    <row r="26" spans="1:14" x14ac:dyDescent="0.25">
      <c r="L26" s="580"/>
      <c r="M26" s="580"/>
      <c r="N26" s="580"/>
    </row>
    <row r="27" spans="1:14" x14ac:dyDescent="0.25">
      <c r="L27" s="581"/>
      <c r="M27" s="580"/>
      <c r="N27" s="580"/>
    </row>
    <row r="28" spans="1:14" x14ac:dyDescent="0.25">
      <c r="L28" s="580"/>
      <c r="M28" s="580"/>
      <c r="N28" s="580"/>
    </row>
    <row r="29" spans="1:14" x14ac:dyDescent="0.25">
      <c r="L29" s="580"/>
      <c r="M29" s="582"/>
      <c r="N29" s="580"/>
    </row>
  </sheetData>
  <mergeCells count="3">
    <mergeCell ref="A2:A3"/>
    <mergeCell ref="B2:B3"/>
    <mergeCell ref="A1:J1"/>
  </mergeCells>
  <pageMargins left="0.7" right="0.7" top="0.75" bottom="0.75" header="0.3" footer="0.3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K49"/>
  <sheetViews>
    <sheetView topLeftCell="A34" workbookViewId="0">
      <selection activeCell="K54" sqref="K54"/>
    </sheetView>
  </sheetViews>
  <sheetFormatPr defaultRowHeight="15" x14ac:dyDescent="0.25"/>
  <cols>
    <col min="1" max="1" width="36.42578125" bestFit="1" customWidth="1"/>
    <col min="2" max="2" width="3.140625" bestFit="1" customWidth="1"/>
    <col min="3" max="3" width="6.85546875" bestFit="1" customWidth="1"/>
    <col min="4" max="4" width="9" customWidth="1"/>
    <col min="5" max="5" width="8.42578125" customWidth="1"/>
    <col min="6" max="6" width="8.28515625" customWidth="1"/>
    <col min="7" max="7" width="7.85546875" customWidth="1"/>
    <col min="8" max="8" width="9.28515625" customWidth="1"/>
    <col min="9" max="9" width="7.7109375" customWidth="1"/>
    <col min="10" max="11" width="8.28515625" customWidth="1"/>
  </cols>
  <sheetData>
    <row r="1" spans="1:11" x14ac:dyDescent="0.25">
      <c r="A1" s="770" t="s">
        <v>375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</row>
    <row r="2" spans="1:11" x14ac:dyDescent="0.25">
      <c r="A2" s="763" t="s">
        <v>0</v>
      </c>
      <c r="B2" s="767" t="s">
        <v>1</v>
      </c>
      <c r="C2" s="346" t="s">
        <v>370</v>
      </c>
      <c r="D2" s="354" t="s">
        <v>369</v>
      </c>
      <c r="E2" s="352"/>
      <c r="F2" s="352"/>
      <c r="G2" s="352"/>
      <c r="H2" s="352"/>
      <c r="I2" s="352"/>
      <c r="J2" s="352"/>
      <c r="K2" s="353"/>
    </row>
    <row r="3" spans="1:11" ht="25.5" x14ac:dyDescent="0.25">
      <c r="A3" s="764"/>
      <c r="B3" s="768"/>
      <c r="C3" s="348" t="s">
        <v>3</v>
      </c>
      <c r="D3" s="355" t="s">
        <v>4</v>
      </c>
      <c r="E3" s="347" t="s">
        <v>5</v>
      </c>
      <c r="F3" s="347" t="s">
        <v>6</v>
      </c>
      <c r="G3" s="347" t="s">
        <v>7</v>
      </c>
      <c r="H3" s="347" t="s">
        <v>8</v>
      </c>
      <c r="I3" s="347" t="s">
        <v>9</v>
      </c>
      <c r="J3" s="351" t="s">
        <v>9</v>
      </c>
      <c r="K3" s="349" t="s">
        <v>10</v>
      </c>
    </row>
    <row r="4" spans="1:11" x14ac:dyDescent="0.25">
      <c r="A4" s="356" t="s">
        <v>11</v>
      </c>
      <c r="B4" s="180"/>
      <c r="C4" s="357"/>
      <c r="D4" s="342"/>
      <c r="E4" s="191"/>
      <c r="F4" s="358"/>
      <c r="G4" s="358"/>
      <c r="H4" s="358"/>
      <c r="I4" s="358"/>
      <c r="J4" s="359" t="s">
        <v>12</v>
      </c>
      <c r="K4" s="360"/>
    </row>
    <row r="5" spans="1:11" x14ac:dyDescent="0.25">
      <c r="A5" s="331" t="s">
        <v>281</v>
      </c>
      <c r="B5" s="235"/>
      <c r="C5" s="366"/>
      <c r="D5" s="193"/>
      <c r="E5" s="343"/>
      <c r="F5" s="343"/>
      <c r="G5" s="343"/>
      <c r="H5" s="343"/>
      <c r="I5" s="343"/>
      <c r="J5" s="345"/>
      <c r="K5" s="362"/>
    </row>
    <row r="6" spans="1:11" x14ac:dyDescent="0.25">
      <c r="A6" s="181"/>
      <c r="B6" s="350"/>
      <c r="C6" s="366"/>
      <c r="D6" s="193"/>
      <c r="E6" s="343"/>
      <c r="F6" s="343"/>
      <c r="G6" s="343"/>
      <c r="H6" s="343"/>
      <c r="I6" s="343"/>
      <c r="J6" s="345"/>
      <c r="K6" s="362"/>
    </row>
    <row r="7" spans="1:11" x14ac:dyDescent="0.25">
      <c r="A7" s="173" t="s">
        <v>282</v>
      </c>
      <c r="B7" s="350"/>
      <c r="C7" s="366"/>
      <c r="D7" s="193"/>
      <c r="E7" s="343"/>
      <c r="F7" s="343"/>
      <c r="G7" s="343"/>
      <c r="H7" s="343"/>
      <c r="I7" s="343"/>
      <c r="J7" s="345"/>
      <c r="K7" s="362"/>
    </row>
    <row r="8" spans="1:11" x14ac:dyDescent="0.25">
      <c r="A8" s="380" t="s">
        <v>259</v>
      </c>
      <c r="B8" s="350"/>
      <c r="C8" s="376">
        <v>0</v>
      </c>
      <c r="D8" s="638">
        <f>SUM(D9:D15)</f>
        <v>62840000</v>
      </c>
      <c r="E8" s="639">
        <v>0</v>
      </c>
      <c r="F8" s="639">
        <f>SUM(F9:F15)</f>
        <v>8349645.7999999998</v>
      </c>
      <c r="G8" s="639">
        <f>SUM(G9:G15)</f>
        <v>25026843.800000001</v>
      </c>
      <c r="H8" s="639">
        <f>SUM(H9:H15)</f>
        <v>15710000</v>
      </c>
      <c r="I8" s="639">
        <f>SUM(I9:I15)</f>
        <v>9316843.8000000007</v>
      </c>
      <c r="J8" s="640">
        <f>IF(I8=0,"",I8/H8)</f>
        <v>0.59305180140038194</v>
      </c>
      <c r="K8" s="641">
        <f>SUM(K9:K15)</f>
        <v>62840000</v>
      </c>
    </row>
    <row r="9" spans="1:11" x14ac:dyDescent="0.25">
      <c r="A9" s="363" t="s">
        <v>260</v>
      </c>
      <c r="B9" s="350"/>
      <c r="C9" s="341">
        <v>0</v>
      </c>
      <c r="D9" s="690">
        <v>59830000</v>
      </c>
      <c r="E9" s="372">
        <v>0</v>
      </c>
      <c r="F9" s="689">
        <v>8309667</v>
      </c>
      <c r="G9" s="689">
        <f>F9+16619333</f>
        <v>24929000</v>
      </c>
      <c r="H9" s="372">
        <f>+D9/12*3</f>
        <v>14957500</v>
      </c>
      <c r="I9" s="330">
        <f t="shared" ref="I9:I15" si="0">G9-H9</f>
        <v>9971500</v>
      </c>
      <c r="J9" s="374">
        <f t="shared" ref="J9:J15" si="1">IF(I9=0,"",I9/H9)</f>
        <v>0.66665552398462313</v>
      </c>
      <c r="K9" s="340">
        <f>D9</f>
        <v>59830000</v>
      </c>
    </row>
    <row r="10" spans="1:11" x14ac:dyDescent="0.25">
      <c r="A10" s="363" t="s">
        <v>261</v>
      </c>
      <c r="B10" s="350"/>
      <c r="C10" s="367">
        <v>0</v>
      </c>
      <c r="D10" s="688">
        <v>2010000</v>
      </c>
      <c r="E10" s="368">
        <v>0</v>
      </c>
      <c r="F10" s="422">
        <v>19406</v>
      </c>
      <c r="G10" s="368">
        <f>F10+9347+19214</f>
        <v>47967</v>
      </c>
      <c r="H10" s="368">
        <f t="shared" ref="H10:H14" si="2">+D10/12*3</f>
        <v>502500</v>
      </c>
      <c r="I10" s="343">
        <f t="shared" si="0"/>
        <v>-454533</v>
      </c>
      <c r="J10" s="345">
        <f t="shared" si="1"/>
        <v>-0.90454328358208957</v>
      </c>
      <c r="K10" s="369">
        <f t="shared" ref="K10:K15" si="3">D10</f>
        <v>2010000</v>
      </c>
    </row>
    <row r="11" spans="1:11" x14ac:dyDescent="0.25">
      <c r="A11" s="363" t="s">
        <v>262</v>
      </c>
      <c r="B11" s="350"/>
      <c r="C11" s="367">
        <v>0</v>
      </c>
      <c r="D11" s="371">
        <v>0</v>
      </c>
      <c r="E11" s="368">
        <v>0</v>
      </c>
      <c r="F11" s="422">
        <v>0</v>
      </c>
      <c r="G11" s="368">
        <f>F11</f>
        <v>0</v>
      </c>
      <c r="H11" s="368">
        <f t="shared" si="2"/>
        <v>0</v>
      </c>
      <c r="I11" s="343">
        <f t="shared" si="0"/>
        <v>0</v>
      </c>
      <c r="J11" s="345" t="str">
        <f t="shared" si="1"/>
        <v/>
      </c>
      <c r="K11" s="369">
        <f t="shared" si="3"/>
        <v>0</v>
      </c>
    </row>
    <row r="12" spans="1:11" x14ac:dyDescent="0.25">
      <c r="A12" s="363" t="s">
        <v>263</v>
      </c>
      <c r="B12" s="350"/>
      <c r="C12" s="367">
        <v>0</v>
      </c>
      <c r="D12" s="371">
        <v>0</v>
      </c>
      <c r="E12" s="368">
        <v>0</v>
      </c>
      <c r="F12" s="422">
        <v>0</v>
      </c>
      <c r="G12" s="368">
        <v>0</v>
      </c>
      <c r="H12" s="368">
        <f t="shared" si="2"/>
        <v>0</v>
      </c>
      <c r="I12" s="343">
        <f t="shared" si="0"/>
        <v>0</v>
      </c>
      <c r="J12" s="345" t="str">
        <f t="shared" si="1"/>
        <v/>
      </c>
      <c r="K12" s="369">
        <f t="shared" si="3"/>
        <v>0</v>
      </c>
    </row>
    <row r="13" spans="1:11" x14ac:dyDescent="0.25">
      <c r="A13" s="363" t="s">
        <v>264</v>
      </c>
      <c r="B13" s="350"/>
      <c r="C13" s="367">
        <v>0</v>
      </c>
      <c r="D13" s="688">
        <v>1000000</v>
      </c>
      <c r="E13" s="368">
        <v>0</v>
      </c>
      <c r="F13" s="687">
        <v>20572.8</v>
      </c>
      <c r="G13" s="368">
        <f>F13+14098+15206</f>
        <v>49876.800000000003</v>
      </c>
      <c r="H13" s="368">
        <f t="shared" si="2"/>
        <v>250000</v>
      </c>
      <c r="I13" s="343">
        <f t="shared" si="0"/>
        <v>-200123.2</v>
      </c>
      <c r="J13" s="345">
        <f t="shared" si="1"/>
        <v>-0.8004928</v>
      </c>
      <c r="K13" s="369">
        <f t="shared" si="3"/>
        <v>1000000</v>
      </c>
    </row>
    <row r="14" spans="1:11" x14ac:dyDescent="0.25">
      <c r="A14" s="363">
        <v>0</v>
      </c>
      <c r="B14" s="350"/>
      <c r="C14" s="367">
        <v>0</v>
      </c>
      <c r="D14" s="371">
        <v>0</v>
      </c>
      <c r="E14" s="368">
        <v>0</v>
      </c>
      <c r="F14" s="422">
        <v>0</v>
      </c>
      <c r="G14" s="368">
        <v>0</v>
      </c>
      <c r="H14" s="368">
        <f t="shared" si="2"/>
        <v>0</v>
      </c>
      <c r="I14" s="343">
        <f t="shared" si="0"/>
        <v>0</v>
      </c>
      <c r="J14" s="345" t="str">
        <f t="shared" si="1"/>
        <v/>
      </c>
      <c r="K14" s="369">
        <f t="shared" si="3"/>
        <v>0</v>
      </c>
    </row>
    <row r="15" spans="1:11" x14ac:dyDescent="0.25">
      <c r="A15" s="363" t="s">
        <v>265</v>
      </c>
      <c r="B15" s="350"/>
      <c r="C15" s="367">
        <v>0</v>
      </c>
      <c r="D15" s="329">
        <v>0</v>
      </c>
      <c r="E15" s="368">
        <v>0</v>
      </c>
      <c r="F15" s="368">
        <v>0</v>
      </c>
      <c r="G15" s="368">
        <f>F15</f>
        <v>0</v>
      </c>
      <c r="H15" s="368">
        <f t="shared" ref="H15" si="4">+D15*9/12</f>
        <v>0</v>
      </c>
      <c r="I15" s="343">
        <f t="shared" si="0"/>
        <v>0</v>
      </c>
      <c r="J15" s="345" t="str">
        <f t="shared" si="1"/>
        <v/>
      </c>
      <c r="K15" s="338">
        <f t="shared" si="3"/>
        <v>0</v>
      </c>
    </row>
    <row r="16" spans="1:11" x14ac:dyDescent="0.25">
      <c r="A16" s="364" t="s">
        <v>266</v>
      </c>
      <c r="B16" s="350"/>
      <c r="C16" s="339">
        <v>0</v>
      </c>
      <c r="D16" s="328">
        <v>0</v>
      </c>
      <c r="E16" s="378">
        <v>0</v>
      </c>
      <c r="F16" s="378">
        <v>0</v>
      </c>
      <c r="G16" s="378">
        <v>0</v>
      </c>
      <c r="H16" s="378">
        <v>0</v>
      </c>
      <c r="I16" s="378">
        <v>0</v>
      </c>
      <c r="J16" s="375" t="s">
        <v>16</v>
      </c>
      <c r="K16" s="327">
        <v>0</v>
      </c>
    </row>
    <row r="17" spans="1:11" x14ac:dyDescent="0.25">
      <c r="A17" s="363" t="s">
        <v>267</v>
      </c>
      <c r="B17" s="350"/>
      <c r="C17" s="341">
        <v>0</v>
      </c>
      <c r="D17" s="373">
        <v>0</v>
      </c>
      <c r="E17" s="372">
        <v>0</v>
      </c>
      <c r="F17" s="372">
        <v>0</v>
      </c>
      <c r="G17" s="372">
        <v>0</v>
      </c>
      <c r="H17" s="372">
        <v>0</v>
      </c>
      <c r="I17" s="330">
        <v>0</v>
      </c>
      <c r="J17" s="374" t="s">
        <v>16</v>
      </c>
      <c r="K17" s="340">
        <v>0</v>
      </c>
    </row>
    <row r="18" spans="1:11" x14ac:dyDescent="0.25">
      <c r="A18" s="363"/>
      <c r="B18" s="350"/>
      <c r="C18" s="367">
        <v>0</v>
      </c>
      <c r="D18" s="371">
        <v>0</v>
      </c>
      <c r="E18" s="368">
        <v>0</v>
      </c>
      <c r="F18" s="368">
        <v>0</v>
      </c>
      <c r="G18" s="368">
        <v>0</v>
      </c>
      <c r="H18" s="368">
        <v>0</v>
      </c>
      <c r="I18" s="343">
        <v>0</v>
      </c>
      <c r="J18" s="345" t="s">
        <v>16</v>
      </c>
      <c r="K18" s="369">
        <v>0</v>
      </c>
    </row>
    <row r="19" spans="1:11" x14ac:dyDescent="0.25">
      <c r="A19" s="363"/>
      <c r="B19" s="350"/>
      <c r="C19" s="367">
        <v>0</v>
      </c>
      <c r="D19" s="371">
        <v>0</v>
      </c>
      <c r="E19" s="368">
        <v>0</v>
      </c>
      <c r="F19" s="368">
        <v>0</v>
      </c>
      <c r="G19" s="368">
        <v>0</v>
      </c>
      <c r="H19" s="368">
        <v>0</v>
      </c>
      <c r="I19" s="343">
        <v>0</v>
      </c>
      <c r="J19" s="345" t="s">
        <v>16</v>
      </c>
      <c r="K19" s="369">
        <v>0</v>
      </c>
    </row>
    <row r="20" spans="1:11" x14ac:dyDescent="0.25">
      <c r="A20" s="363"/>
      <c r="B20" s="350"/>
      <c r="C20" s="367">
        <v>0</v>
      </c>
      <c r="D20" s="371">
        <v>0</v>
      </c>
      <c r="E20" s="368">
        <v>0</v>
      </c>
      <c r="F20" s="368">
        <v>0</v>
      </c>
      <c r="G20" s="368">
        <v>0</v>
      </c>
      <c r="H20" s="368">
        <v>0</v>
      </c>
      <c r="I20" s="343">
        <v>0</v>
      </c>
      <c r="J20" s="345" t="s">
        <v>16</v>
      </c>
      <c r="K20" s="369">
        <v>0</v>
      </c>
    </row>
    <row r="21" spans="1:11" x14ac:dyDescent="0.25">
      <c r="A21" s="363" t="s">
        <v>268</v>
      </c>
      <c r="B21" s="350"/>
      <c r="C21" s="367">
        <v>0</v>
      </c>
      <c r="D21" s="371">
        <v>0</v>
      </c>
      <c r="E21" s="368">
        <v>0</v>
      </c>
      <c r="F21" s="368">
        <v>0</v>
      </c>
      <c r="G21" s="368">
        <v>0</v>
      </c>
      <c r="H21" s="368">
        <v>0</v>
      </c>
      <c r="I21" s="343">
        <v>0</v>
      </c>
      <c r="J21" s="345" t="s">
        <v>16</v>
      </c>
      <c r="K21" s="369">
        <v>0</v>
      </c>
    </row>
    <row r="22" spans="1:11" x14ac:dyDescent="0.25">
      <c r="A22" s="364" t="s">
        <v>269</v>
      </c>
      <c r="B22" s="350"/>
      <c r="C22" s="339">
        <v>0</v>
      </c>
      <c r="D22" s="328">
        <v>0</v>
      </c>
      <c r="E22" s="378">
        <v>0</v>
      </c>
      <c r="F22" s="378">
        <v>0</v>
      </c>
      <c r="G22" s="378">
        <v>0</v>
      </c>
      <c r="H22" s="378">
        <v>0</v>
      </c>
      <c r="I22" s="330">
        <v>0</v>
      </c>
      <c r="J22" s="374" t="s">
        <v>16</v>
      </c>
      <c r="K22" s="327">
        <v>0</v>
      </c>
    </row>
    <row r="23" spans="1:11" x14ac:dyDescent="0.25">
      <c r="A23" s="364"/>
      <c r="B23" s="350"/>
      <c r="C23" s="337">
        <v>0</v>
      </c>
      <c r="D23" s="175">
        <v>0</v>
      </c>
      <c r="E23" s="336">
        <v>0</v>
      </c>
      <c r="F23" s="336">
        <v>0</v>
      </c>
      <c r="G23" s="336">
        <v>0</v>
      </c>
      <c r="H23" s="336">
        <v>0</v>
      </c>
      <c r="I23" s="330">
        <v>0</v>
      </c>
      <c r="J23" s="374" t="s">
        <v>16</v>
      </c>
      <c r="K23" s="177">
        <v>0</v>
      </c>
    </row>
    <row r="24" spans="1:11" x14ac:dyDescent="0.25">
      <c r="A24" s="365" t="s">
        <v>270</v>
      </c>
      <c r="B24" s="350"/>
      <c r="C24" s="367">
        <v>0</v>
      </c>
      <c r="D24" s="371">
        <v>0</v>
      </c>
      <c r="E24" s="368">
        <v>0</v>
      </c>
      <c r="F24" s="368">
        <v>0</v>
      </c>
      <c r="G24" s="368">
        <v>0</v>
      </c>
      <c r="H24" s="368">
        <v>0</v>
      </c>
      <c r="I24" s="343">
        <v>0</v>
      </c>
      <c r="J24" s="345" t="s">
        <v>16</v>
      </c>
      <c r="K24" s="333">
        <v>0</v>
      </c>
    </row>
    <row r="25" spans="1:11" x14ac:dyDescent="0.25">
      <c r="A25" s="364" t="s">
        <v>271</v>
      </c>
      <c r="B25" s="350"/>
      <c r="C25" s="339">
        <v>0</v>
      </c>
      <c r="D25" s="328">
        <v>0</v>
      </c>
      <c r="E25" s="378">
        <v>0</v>
      </c>
      <c r="F25" s="378">
        <v>0</v>
      </c>
      <c r="G25" s="378">
        <v>0</v>
      </c>
      <c r="H25" s="378">
        <v>0</v>
      </c>
      <c r="I25" s="330">
        <v>0</v>
      </c>
      <c r="J25" s="374" t="s">
        <v>16</v>
      </c>
      <c r="K25" s="327">
        <v>0</v>
      </c>
    </row>
    <row r="26" spans="1:11" x14ac:dyDescent="0.25">
      <c r="A26" s="364"/>
      <c r="B26" s="350"/>
      <c r="C26" s="337">
        <v>0</v>
      </c>
      <c r="D26" s="175">
        <v>0</v>
      </c>
      <c r="E26" s="336">
        <v>0</v>
      </c>
      <c r="F26" s="336">
        <v>0</v>
      </c>
      <c r="G26" s="336">
        <v>0</v>
      </c>
      <c r="H26" s="336">
        <v>0</v>
      </c>
      <c r="I26" s="330">
        <v>0</v>
      </c>
      <c r="J26" s="374" t="s">
        <v>16</v>
      </c>
      <c r="K26" s="177">
        <v>0</v>
      </c>
    </row>
    <row r="27" spans="1:11" x14ac:dyDescent="0.25">
      <c r="A27" s="365" t="s">
        <v>270</v>
      </c>
      <c r="B27" s="350"/>
      <c r="C27" s="367">
        <v>0</v>
      </c>
      <c r="D27" s="371">
        <v>0</v>
      </c>
      <c r="E27" s="368">
        <v>0</v>
      </c>
      <c r="F27" s="368">
        <v>0</v>
      </c>
      <c r="G27" s="368">
        <v>0</v>
      </c>
      <c r="H27" s="368">
        <v>0</v>
      </c>
      <c r="I27" s="343">
        <v>0</v>
      </c>
      <c r="J27" s="345" t="s">
        <v>16</v>
      </c>
      <c r="K27" s="334">
        <v>0</v>
      </c>
    </row>
    <row r="28" spans="1:11" x14ac:dyDescent="0.25">
      <c r="A28" s="271" t="s">
        <v>283</v>
      </c>
      <c r="B28" s="198"/>
      <c r="C28" s="379">
        <v>0</v>
      </c>
      <c r="D28" s="642">
        <f>D8+D16+D22+D25</f>
        <v>62840000</v>
      </c>
      <c r="E28" s="643">
        <v>0</v>
      </c>
      <c r="F28" s="643">
        <f>F8+F16+F22+F25</f>
        <v>8349645.7999999998</v>
      </c>
      <c r="G28" s="643">
        <f>G8+G16+G22+G25</f>
        <v>25026843.800000001</v>
      </c>
      <c r="H28" s="643">
        <f>H8+H16+H22+H25</f>
        <v>15710000</v>
      </c>
      <c r="I28" s="643">
        <f>I8+I16+I22+I25</f>
        <v>9316843.8000000007</v>
      </c>
      <c r="J28" s="644">
        <f>IF(I28=0,"",I28/H28)</f>
        <v>0.59305180140038194</v>
      </c>
      <c r="K28" s="645">
        <f>K8+K16+K22+K25</f>
        <v>62840000</v>
      </c>
    </row>
    <row r="29" spans="1:11" x14ac:dyDescent="0.25">
      <c r="A29" s="344"/>
      <c r="B29" s="350"/>
      <c r="C29" s="366"/>
      <c r="D29" s="193"/>
      <c r="E29" s="343"/>
      <c r="F29" s="343"/>
      <c r="G29" s="343"/>
      <c r="H29" s="343"/>
      <c r="I29" s="343"/>
      <c r="J29" s="345"/>
      <c r="K29" s="362"/>
    </row>
    <row r="30" spans="1:11" x14ac:dyDescent="0.25">
      <c r="A30" s="173" t="s">
        <v>284</v>
      </c>
      <c r="B30" s="350"/>
      <c r="C30" s="366"/>
      <c r="D30" s="193"/>
      <c r="E30" s="343"/>
      <c r="F30" s="343"/>
      <c r="G30" s="343"/>
      <c r="H30" s="343"/>
      <c r="I30" s="343"/>
      <c r="J30" s="345"/>
      <c r="K30" s="362"/>
    </row>
    <row r="31" spans="1:11" x14ac:dyDescent="0.25">
      <c r="A31" s="364" t="s">
        <v>259</v>
      </c>
      <c r="B31" s="350"/>
      <c r="C31" s="366">
        <v>0</v>
      </c>
      <c r="D31" s="377">
        <f>SUM(D32:D37)</f>
        <v>47530000</v>
      </c>
      <c r="E31" s="413">
        <v>0</v>
      </c>
      <c r="F31" s="413">
        <f>SUM(F32:F37)</f>
        <v>548143</v>
      </c>
      <c r="G31" s="413">
        <f>SUM(G32:G37)</f>
        <v>4672023</v>
      </c>
      <c r="H31" s="413">
        <f>SUM(H32:H37)</f>
        <v>11882500</v>
      </c>
      <c r="I31" s="413">
        <f>SUM(I32:I37)</f>
        <v>-7210477</v>
      </c>
      <c r="J31" s="361">
        <f>IF(I31=0,"",I31/H31)</f>
        <v>-0.60681481169787499</v>
      </c>
      <c r="K31" s="423">
        <f>SUM(K32:K37)</f>
        <v>47530000</v>
      </c>
    </row>
    <row r="32" spans="1:11" x14ac:dyDescent="0.25">
      <c r="A32" s="363" t="s">
        <v>274</v>
      </c>
      <c r="B32" s="350"/>
      <c r="C32" s="368">
        <v>0</v>
      </c>
      <c r="D32" s="690">
        <v>20090000</v>
      </c>
      <c r="E32" s="368">
        <v>0</v>
      </c>
      <c r="F32" s="368">
        <v>548143</v>
      </c>
      <c r="G32" s="368">
        <f>F32+1763053+2360827</f>
        <v>4672023</v>
      </c>
      <c r="H32" s="368">
        <f t="shared" ref="H32:H33" si="5">+D32/12*3</f>
        <v>5022500</v>
      </c>
      <c r="I32" s="330">
        <f t="shared" ref="I32:I38" si="6">G32-H32</f>
        <v>-350477</v>
      </c>
      <c r="J32" s="374">
        <f t="shared" ref="J32:J38" si="7">IF(I32=0,"",I32/H32)</f>
        <v>-6.9781383773021399E-2</v>
      </c>
      <c r="K32" s="340">
        <f>D32</f>
        <v>20090000</v>
      </c>
    </row>
    <row r="33" spans="1:11" x14ac:dyDescent="0.25">
      <c r="A33" s="363" t="s">
        <v>275</v>
      </c>
      <c r="B33" s="350"/>
      <c r="C33" s="368">
        <v>0</v>
      </c>
      <c r="D33" s="688">
        <v>27440000</v>
      </c>
      <c r="E33" s="368">
        <v>0</v>
      </c>
      <c r="F33" s="368">
        <v>0</v>
      </c>
      <c r="G33" s="368">
        <f>F33</f>
        <v>0</v>
      </c>
      <c r="H33" s="368">
        <f t="shared" si="5"/>
        <v>6860000</v>
      </c>
      <c r="I33" s="343">
        <f t="shared" si="6"/>
        <v>-6860000</v>
      </c>
      <c r="J33" s="345">
        <f t="shared" si="7"/>
        <v>-1</v>
      </c>
      <c r="K33" s="369">
        <f>D33</f>
        <v>27440000</v>
      </c>
    </row>
    <row r="34" spans="1:11" x14ac:dyDescent="0.25">
      <c r="A34" s="363" t="s">
        <v>276</v>
      </c>
      <c r="B34" s="350"/>
      <c r="C34" s="368">
        <v>0</v>
      </c>
      <c r="D34" s="422">
        <v>0</v>
      </c>
      <c r="E34" s="368">
        <v>0</v>
      </c>
      <c r="F34" s="368">
        <v>0</v>
      </c>
      <c r="G34" s="368">
        <v>0</v>
      </c>
      <c r="H34" s="368">
        <f t="shared" ref="H34:H37" si="8">+D34*9/12</f>
        <v>0</v>
      </c>
      <c r="I34" s="343">
        <f t="shared" si="6"/>
        <v>0</v>
      </c>
      <c r="J34" s="345" t="str">
        <f t="shared" si="7"/>
        <v/>
      </c>
      <c r="K34" s="369">
        <f>D34</f>
        <v>0</v>
      </c>
    </row>
    <row r="35" spans="1:11" x14ac:dyDescent="0.25">
      <c r="A35" s="363" t="s">
        <v>359</v>
      </c>
      <c r="B35" s="350"/>
      <c r="C35" s="368">
        <v>0</v>
      </c>
      <c r="D35" s="368">
        <v>0</v>
      </c>
      <c r="E35" s="368">
        <v>0</v>
      </c>
      <c r="F35" s="368">
        <v>0</v>
      </c>
      <c r="G35" s="368">
        <v>0</v>
      </c>
      <c r="H35" s="368">
        <f t="shared" si="8"/>
        <v>0</v>
      </c>
      <c r="I35" s="343">
        <f t="shared" si="6"/>
        <v>0</v>
      </c>
      <c r="J35" s="345" t="str">
        <f t="shared" si="7"/>
        <v/>
      </c>
      <c r="K35" s="369">
        <f>D35</f>
        <v>0</v>
      </c>
    </row>
    <row r="36" spans="1:11" x14ac:dyDescent="0.25">
      <c r="A36" s="363"/>
      <c r="B36" s="350"/>
      <c r="C36" s="368">
        <v>0</v>
      </c>
      <c r="D36" s="368">
        <v>0</v>
      </c>
      <c r="E36" s="368">
        <v>0</v>
      </c>
      <c r="F36" s="368">
        <v>0</v>
      </c>
      <c r="G36" s="368">
        <v>0</v>
      </c>
      <c r="H36" s="368">
        <f t="shared" si="8"/>
        <v>0</v>
      </c>
      <c r="I36" s="343">
        <f t="shared" si="6"/>
        <v>0</v>
      </c>
      <c r="J36" s="345" t="str">
        <f t="shared" si="7"/>
        <v/>
      </c>
      <c r="K36" s="369">
        <v>0</v>
      </c>
    </row>
    <row r="37" spans="1:11" x14ac:dyDescent="0.25">
      <c r="A37" s="363" t="s">
        <v>285</v>
      </c>
      <c r="B37" s="350"/>
      <c r="C37" s="368">
        <v>0</v>
      </c>
      <c r="D37" s="368">
        <v>0</v>
      </c>
      <c r="E37" s="368">
        <v>0</v>
      </c>
      <c r="F37" s="368">
        <v>0</v>
      </c>
      <c r="G37" s="368">
        <v>0</v>
      </c>
      <c r="H37" s="368">
        <f t="shared" si="8"/>
        <v>0</v>
      </c>
      <c r="I37" s="343">
        <f t="shared" si="6"/>
        <v>0</v>
      </c>
      <c r="J37" s="345" t="str">
        <f t="shared" si="7"/>
        <v/>
      </c>
      <c r="K37" s="338">
        <v>0</v>
      </c>
    </row>
    <row r="38" spans="1:11" x14ac:dyDescent="0.25">
      <c r="A38" s="364" t="s">
        <v>266</v>
      </c>
      <c r="B38" s="350"/>
      <c r="C38" s="339">
        <v>0</v>
      </c>
      <c r="D38" s="328">
        <f>SUM(D39:D40)</f>
        <v>0</v>
      </c>
      <c r="E38" s="378">
        <f>SUM(E39:E40)</f>
        <v>0</v>
      </c>
      <c r="F38" s="378">
        <f>SUM(F39:F40)</f>
        <v>0</v>
      </c>
      <c r="G38" s="378">
        <f>SUM(G39:G40)</f>
        <v>0</v>
      </c>
      <c r="H38" s="378">
        <f>SUM(H39:H40)</f>
        <v>0</v>
      </c>
      <c r="I38" s="330">
        <f t="shared" si="6"/>
        <v>0</v>
      </c>
      <c r="J38" s="374" t="str">
        <f t="shared" si="7"/>
        <v/>
      </c>
      <c r="K38" s="327">
        <f>SUM(K39:K40)</f>
        <v>0</v>
      </c>
    </row>
    <row r="39" spans="1:11" x14ac:dyDescent="0.25">
      <c r="A39" s="381" t="s">
        <v>277</v>
      </c>
      <c r="B39" s="350"/>
      <c r="C39" s="337">
        <v>0</v>
      </c>
      <c r="D39" s="373">
        <v>0</v>
      </c>
      <c r="E39" s="336">
        <v>0</v>
      </c>
      <c r="F39" s="336">
        <v>0</v>
      </c>
      <c r="G39" s="336">
        <v>0</v>
      </c>
      <c r="H39" s="368">
        <v>0</v>
      </c>
      <c r="I39" s="330">
        <v>0</v>
      </c>
      <c r="J39" s="374"/>
      <c r="K39" s="340">
        <v>0</v>
      </c>
    </row>
    <row r="40" spans="1:11" x14ac:dyDescent="0.25">
      <c r="A40" s="363" t="s">
        <v>278</v>
      </c>
      <c r="B40" s="350"/>
      <c r="C40" s="367">
        <v>0</v>
      </c>
      <c r="D40" s="371">
        <v>0</v>
      </c>
      <c r="E40" s="368">
        <v>0</v>
      </c>
      <c r="F40" s="368">
        <v>0</v>
      </c>
      <c r="G40" s="368">
        <v>0</v>
      </c>
      <c r="H40" s="368">
        <v>0</v>
      </c>
      <c r="I40" s="343">
        <v>0</v>
      </c>
      <c r="J40" s="345" t="s">
        <v>16</v>
      </c>
      <c r="K40" s="369">
        <v>0</v>
      </c>
    </row>
    <row r="41" spans="1:11" x14ac:dyDescent="0.25">
      <c r="A41" s="364" t="s">
        <v>269</v>
      </c>
      <c r="B41" s="350"/>
      <c r="C41" s="339">
        <v>0</v>
      </c>
      <c r="D41" s="328">
        <v>0</v>
      </c>
      <c r="E41" s="378">
        <v>0</v>
      </c>
      <c r="F41" s="378">
        <v>0</v>
      </c>
      <c r="G41" s="378">
        <v>0</v>
      </c>
      <c r="H41" s="378">
        <v>0</v>
      </c>
      <c r="I41" s="330">
        <v>0</v>
      </c>
      <c r="J41" s="374" t="s">
        <v>16</v>
      </c>
      <c r="K41" s="327">
        <v>0</v>
      </c>
    </row>
    <row r="42" spans="1:11" x14ac:dyDescent="0.25">
      <c r="A42" s="364"/>
      <c r="B42" s="350"/>
      <c r="C42" s="337">
        <v>0</v>
      </c>
      <c r="D42" s="175">
        <v>0</v>
      </c>
      <c r="E42" s="336">
        <v>0</v>
      </c>
      <c r="F42" s="336">
        <v>0</v>
      </c>
      <c r="G42" s="336">
        <v>0</v>
      </c>
      <c r="H42" s="368">
        <v>0</v>
      </c>
      <c r="I42" s="330">
        <v>0</v>
      </c>
      <c r="J42" s="374" t="s">
        <v>16</v>
      </c>
      <c r="K42" s="340">
        <v>0</v>
      </c>
    </row>
    <row r="43" spans="1:11" x14ac:dyDescent="0.25">
      <c r="A43" s="365">
        <v>0</v>
      </c>
      <c r="B43" s="350"/>
      <c r="C43" s="367">
        <v>0</v>
      </c>
      <c r="D43" s="371">
        <v>0</v>
      </c>
      <c r="E43" s="368">
        <v>0</v>
      </c>
      <c r="F43" s="368">
        <v>0</v>
      </c>
      <c r="G43" s="368">
        <v>0</v>
      </c>
      <c r="H43" s="368">
        <v>0</v>
      </c>
      <c r="I43" s="343">
        <v>0</v>
      </c>
      <c r="J43" s="345" t="s">
        <v>16</v>
      </c>
      <c r="K43" s="369">
        <v>0</v>
      </c>
    </row>
    <row r="44" spans="1:11" x14ac:dyDescent="0.25">
      <c r="A44" s="364" t="s">
        <v>271</v>
      </c>
      <c r="B44" s="350"/>
      <c r="C44" s="339">
        <v>0</v>
      </c>
      <c r="D44" s="328">
        <v>0</v>
      </c>
      <c r="E44" s="378">
        <v>0</v>
      </c>
      <c r="F44" s="378">
        <f>SUM(F45:F46)</f>
        <v>0</v>
      </c>
      <c r="G44" s="378">
        <v>0</v>
      </c>
      <c r="H44" s="378">
        <v>0</v>
      </c>
      <c r="I44" s="330">
        <v>0</v>
      </c>
      <c r="J44" s="374"/>
      <c r="K44" s="327">
        <v>0</v>
      </c>
    </row>
    <row r="45" spans="1:11" x14ac:dyDescent="0.25">
      <c r="A45" s="364"/>
      <c r="B45" s="350"/>
      <c r="C45" s="337">
        <v>0</v>
      </c>
      <c r="D45" s="175">
        <v>0</v>
      </c>
      <c r="E45" s="336">
        <v>0</v>
      </c>
      <c r="F45" s="336">
        <v>0</v>
      </c>
      <c r="G45" s="336">
        <v>0</v>
      </c>
      <c r="H45" s="368">
        <v>0</v>
      </c>
      <c r="I45" s="330">
        <v>0</v>
      </c>
      <c r="J45" s="374"/>
      <c r="K45" s="340">
        <v>0</v>
      </c>
    </row>
    <row r="46" spans="1:11" x14ac:dyDescent="0.25">
      <c r="A46" s="365">
        <v>0</v>
      </c>
      <c r="B46" s="350"/>
      <c r="C46" s="367">
        <v>0</v>
      </c>
      <c r="D46" s="371">
        <v>0</v>
      </c>
      <c r="E46" s="368">
        <v>0</v>
      </c>
      <c r="F46" s="368">
        <v>0</v>
      </c>
      <c r="G46" s="368">
        <v>0</v>
      </c>
      <c r="H46" s="368">
        <v>0</v>
      </c>
      <c r="I46" s="343">
        <v>0</v>
      </c>
      <c r="J46" s="345" t="s">
        <v>16</v>
      </c>
      <c r="K46" s="369">
        <v>0</v>
      </c>
    </row>
    <row r="47" spans="1:11" x14ac:dyDescent="0.25">
      <c r="A47" s="178" t="s">
        <v>286</v>
      </c>
      <c r="B47" s="198"/>
      <c r="C47" s="379">
        <v>0</v>
      </c>
      <c r="D47" s="642">
        <f>D31+D38+D41+D44</f>
        <v>47530000</v>
      </c>
      <c r="E47" s="643">
        <v>0</v>
      </c>
      <c r="F47" s="643">
        <f>F31+F38+F41+F44</f>
        <v>548143</v>
      </c>
      <c r="G47" s="643">
        <f>G31+G38+G41+G44</f>
        <v>4672023</v>
      </c>
      <c r="H47" s="643">
        <f>H31+H38+H41+H44</f>
        <v>11882500</v>
      </c>
      <c r="I47" s="643">
        <f>I31+I38+I41+I44</f>
        <v>-7210477</v>
      </c>
      <c r="J47" s="644">
        <f>IF(I47=0,"",I47/H47)</f>
        <v>-0.60681481169787499</v>
      </c>
      <c r="K47" s="645">
        <f>K31+K38+K41+K44</f>
        <v>47530000</v>
      </c>
    </row>
    <row r="48" spans="1:11" x14ac:dyDescent="0.25">
      <c r="A48" s="332"/>
      <c r="B48" s="350"/>
      <c r="C48" s="366"/>
      <c r="D48" s="193"/>
      <c r="E48" s="343"/>
      <c r="F48" s="343"/>
      <c r="G48" s="343"/>
      <c r="H48" s="343"/>
      <c r="I48" s="343"/>
      <c r="J48" s="345"/>
      <c r="K48" s="362"/>
    </row>
    <row r="49" spans="1:11" x14ac:dyDescent="0.25">
      <c r="A49" s="27" t="s">
        <v>287</v>
      </c>
      <c r="B49" s="335"/>
      <c r="C49" s="370">
        <v>0</v>
      </c>
      <c r="D49" s="646">
        <f t="shared" ref="D49:K49" si="9">D28+D47</f>
        <v>110370000</v>
      </c>
      <c r="E49" s="647">
        <f t="shared" si="9"/>
        <v>0</v>
      </c>
      <c r="F49" s="647">
        <f t="shared" si="9"/>
        <v>8897788.8000000007</v>
      </c>
      <c r="G49" s="647">
        <f t="shared" si="9"/>
        <v>29698866.800000001</v>
      </c>
      <c r="H49" s="647">
        <f t="shared" si="9"/>
        <v>27592500</v>
      </c>
      <c r="I49" s="647">
        <f t="shared" si="9"/>
        <v>2106366.8000000007</v>
      </c>
      <c r="J49" s="648">
        <f>IF(I49=0,"",I49/H49)</f>
        <v>7.6338381806650382E-2</v>
      </c>
      <c r="K49" s="649">
        <f t="shared" si="9"/>
        <v>110370000</v>
      </c>
    </row>
  </sheetData>
  <mergeCells count="3">
    <mergeCell ref="A2:A3"/>
    <mergeCell ref="B2:B3"/>
    <mergeCell ref="A1:K1"/>
  </mergeCells>
  <pageMargins left="0.7" right="0.7" top="0.75" bottom="0.75" header="0.3" footer="0.3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J18"/>
  <sheetViews>
    <sheetView workbookViewId="0">
      <selection activeCell="I17" sqref="I17"/>
    </sheetView>
  </sheetViews>
  <sheetFormatPr defaultRowHeight="15" x14ac:dyDescent="0.25"/>
  <cols>
    <col min="1" max="1" width="27.5703125" bestFit="1" customWidth="1"/>
  </cols>
  <sheetData>
    <row r="1" spans="1:10" x14ac:dyDescent="0.25">
      <c r="A1" s="770" t="s">
        <v>429</v>
      </c>
      <c r="B1" s="770"/>
      <c r="C1" s="770"/>
      <c r="D1" s="770"/>
      <c r="E1" s="770"/>
      <c r="F1" s="770"/>
      <c r="G1" s="770"/>
      <c r="H1" s="770"/>
      <c r="I1" s="770"/>
      <c r="J1" s="770"/>
    </row>
    <row r="2" spans="1:10" x14ac:dyDescent="0.25">
      <c r="A2" s="763" t="s">
        <v>288</v>
      </c>
      <c r="B2" s="389" t="s">
        <v>370</v>
      </c>
      <c r="C2" s="794" t="s">
        <v>369</v>
      </c>
      <c r="D2" s="795"/>
      <c r="E2" s="795"/>
      <c r="F2" s="795"/>
      <c r="G2" s="795"/>
      <c r="H2" s="795"/>
      <c r="I2" s="795"/>
      <c r="J2" s="796"/>
    </row>
    <row r="3" spans="1:10" ht="38.25" x14ac:dyDescent="0.25">
      <c r="A3" s="764"/>
      <c r="B3" s="392" t="s">
        <v>3</v>
      </c>
      <c r="C3" s="398" t="s">
        <v>4</v>
      </c>
      <c r="D3" s="390" t="s">
        <v>5</v>
      </c>
      <c r="E3" s="390" t="s">
        <v>6</v>
      </c>
      <c r="F3" s="390" t="s">
        <v>7</v>
      </c>
      <c r="G3" s="390" t="s">
        <v>8</v>
      </c>
      <c r="H3" s="390" t="s">
        <v>9</v>
      </c>
      <c r="I3" s="394" t="s">
        <v>9</v>
      </c>
      <c r="J3" s="393" t="s">
        <v>289</v>
      </c>
    </row>
    <row r="4" spans="1:10" x14ac:dyDescent="0.25">
      <c r="A4" s="401" t="s">
        <v>11</v>
      </c>
      <c r="B4" s="402"/>
      <c r="C4" s="407"/>
      <c r="D4" s="403"/>
      <c r="E4" s="404"/>
      <c r="F4" s="404"/>
      <c r="G4" s="404"/>
      <c r="H4" s="404"/>
      <c r="I4" s="405" t="s">
        <v>12</v>
      </c>
      <c r="J4" s="406"/>
    </row>
    <row r="5" spans="1:10" x14ac:dyDescent="0.25">
      <c r="A5" s="382" t="s">
        <v>290</v>
      </c>
      <c r="B5" s="388"/>
      <c r="C5" s="399"/>
      <c r="D5" s="384"/>
      <c r="E5" s="384"/>
      <c r="F5" s="384"/>
      <c r="G5" s="384"/>
      <c r="H5" s="384"/>
      <c r="I5" s="387"/>
      <c r="J5" s="391"/>
    </row>
    <row r="6" spans="1:10" x14ac:dyDescent="0.25">
      <c r="A6" s="383" t="s">
        <v>291</v>
      </c>
      <c r="B6" s="617">
        <v>0</v>
      </c>
      <c r="C6" s="618">
        <v>5895500</v>
      </c>
      <c r="D6" s="619">
        <v>0</v>
      </c>
      <c r="E6" s="620">
        <v>1768200</v>
      </c>
      <c r="F6" s="409">
        <f>IF(E6&gt;0,E6,"")</f>
        <v>1768200</v>
      </c>
      <c r="G6" s="409">
        <f>IF(D6&gt;0,D6,C6)</f>
        <v>5895500</v>
      </c>
      <c r="H6" s="384">
        <f t="shared" ref="H6:H17" si="0">IF(F6="",0,G6-F6)</f>
        <v>4127300</v>
      </c>
      <c r="I6" s="387">
        <f t="shared" ref="I6:I17" si="1">IF(F6="","",IF(H6=0,"",H6/G6))</f>
        <v>0.7000763294037825</v>
      </c>
      <c r="J6" s="411">
        <f t="shared" ref="J6:J17" si="2">IF(F6="","",F6/$C$18)</f>
        <v>2.4993639216351456E-2</v>
      </c>
    </row>
    <row r="7" spans="1:10" x14ac:dyDescent="0.25">
      <c r="A7" s="383" t="s">
        <v>292</v>
      </c>
      <c r="B7" s="617">
        <v>0</v>
      </c>
      <c r="C7" s="618">
        <v>5895500</v>
      </c>
      <c r="D7" s="619">
        <v>0</v>
      </c>
      <c r="E7" s="619">
        <v>3180248</v>
      </c>
      <c r="F7" s="409">
        <f>IF(E7&gt;0,E7+F6,"")</f>
        <v>4948448</v>
      </c>
      <c r="G7" s="409">
        <f>IF(D7&gt;0,D7+D6,C7+C6)</f>
        <v>11791000</v>
      </c>
      <c r="H7" s="384">
        <f t="shared" si="0"/>
        <v>6842552</v>
      </c>
      <c r="I7" s="387">
        <f t="shared" si="1"/>
        <v>0.58031990501229747</v>
      </c>
      <c r="J7" s="411">
        <f t="shared" si="2"/>
        <v>6.9946682497950413E-2</v>
      </c>
    </row>
    <row r="8" spans="1:10" x14ac:dyDescent="0.25">
      <c r="A8" s="383" t="s">
        <v>293</v>
      </c>
      <c r="B8" s="617">
        <v>0</v>
      </c>
      <c r="C8" s="618">
        <v>5895500</v>
      </c>
      <c r="D8" s="619">
        <v>0</v>
      </c>
      <c r="E8" s="620">
        <v>2796618</v>
      </c>
      <c r="F8" s="409">
        <f t="shared" ref="F8:F17" si="3">IF(E8&gt;0,E8+F7,"")</f>
        <v>7745066</v>
      </c>
      <c r="G8" s="409">
        <f>IF(D8&gt;0,D8+G7,C8+G7)</f>
        <v>17686500</v>
      </c>
      <c r="H8" s="384">
        <f t="shared" si="0"/>
        <v>9941434</v>
      </c>
      <c r="I8" s="414">
        <f t="shared" si="1"/>
        <v>0.56209165182483811</v>
      </c>
      <c r="J8" s="411">
        <f t="shared" si="2"/>
        <v>0.10947708704379046</v>
      </c>
    </row>
    <row r="9" spans="1:10" x14ac:dyDescent="0.25">
      <c r="A9" s="383" t="s">
        <v>294</v>
      </c>
      <c r="B9" s="617">
        <v>0</v>
      </c>
      <c r="C9" s="618">
        <v>5895500</v>
      </c>
      <c r="D9" s="619">
        <v>0</v>
      </c>
      <c r="E9" s="619">
        <v>1</v>
      </c>
      <c r="F9" s="409">
        <f t="shared" si="3"/>
        <v>7745067</v>
      </c>
      <c r="G9" s="409">
        <f t="shared" ref="G9:G17" si="4">IF(D9&gt;0,D9+G8,C9+G8)</f>
        <v>23582000</v>
      </c>
      <c r="H9" s="384">
        <f t="shared" si="0"/>
        <v>15836933</v>
      </c>
      <c r="I9" s="414">
        <f t="shared" si="1"/>
        <v>0.67156869646340434</v>
      </c>
      <c r="J9" s="411">
        <f t="shared" si="2"/>
        <v>0.10947710117886524</v>
      </c>
    </row>
    <row r="10" spans="1:10" x14ac:dyDescent="0.25">
      <c r="A10" s="383" t="s">
        <v>295</v>
      </c>
      <c r="B10" s="617">
        <v>0</v>
      </c>
      <c r="C10" s="618">
        <v>5895500</v>
      </c>
      <c r="D10" s="619">
        <v>0</v>
      </c>
      <c r="E10" s="619">
        <v>1928709</v>
      </c>
      <c r="F10" s="409">
        <f t="shared" si="3"/>
        <v>9673776</v>
      </c>
      <c r="G10" s="409">
        <f t="shared" si="4"/>
        <v>29477500</v>
      </c>
      <c r="H10" s="384">
        <f t="shared" si="0"/>
        <v>19803724</v>
      </c>
      <c r="I10" s="414">
        <f t="shared" si="1"/>
        <v>0.67182508693070986</v>
      </c>
      <c r="J10" s="411">
        <f t="shared" si="2"/>
        <v>0.13673954711220423</v>
      </c>
    </row>
    <row r="11" spans="1:10" x14ac:dyDescent="0.25">
      <c r="A11" s="383" t="s">
        <v>296</v>
      </c>
      <c r="B11" s="617">
        <v>0</v>
      </c>
      <c r="C11" s="618">
        <v>5895500</v>
      </c>
      <c r="D11" s="619">
        <v>0</v>
      </c>
      <c r="E11" s="619">
        <v>6280575</v>
      </c>
      <c r="F11" s="409">
        <f t="shared" si="3"/>
        <v>15954351</v>
      </c>
      <c r="G11" s="409">
        <f t="shared" si="4"/>
        <v>35373000</v>
      </c>
      <c r="H11" s="384">
        <f t="shared" si="0"/>
        <v>19418649</v>
      </c>
      <c r="I11" s="414">
        <f t="shared" si="1"/>
        <v>0.54896811127130862</v>
      </c>
      <c r="J11" s="411">
        <f t="shared" si="2"/>
        <v>0.22551594436434569</v>
      </c>
    </row>
    <row r="12" spans="1:10" x14ac:dyDescent="0.25">
      <c r="A12" s="383" t="s">
        <v>297</v>
      </c>
      <c r="B12" s="617">
        <v>0</v>
      </c>
      <c r="C12" s="618">
        <v>5895500</v>
      </c>
      <c r="D12" s="619">
        <v>0</v>
      </c>
      <c r="E12" s="619">
        <v>0</v>
      </c>
      <c r="F12" s="409" t="str">
        <f t="shared" si="3"/>
        <v/>
      </c>
      <c r="G12" s="409">
        <f t="shared" si="4"/>
        <v>41268500</v>
      </c>
      <c r="H12" s="384">
        <f t="shared" si="0"/>
        <v>0</v>
      </c>
      <c r="I12" s="414" t="str">
        <f t="shared" si="1"/>
        <v/>
      </c>
      <c r="J12" s="411" t="str">
        <f t="shared" si="2"/>
        <v/>
      </c>
    </row>
    <row r="13" spans="1:10" x14ac:dyDescent="0.25">
      <c r="A13" s="383" t="s">
        <v>298</v>
      </c>
      <c r="B13" s="617">
        <v>0</v>
      </c>
      <c r="C13" s="618">
        <v>5895500</v>
      </c>
      <c r="D13" s="619">
        <v>0</v>
      </c>
      <c r="E13" s="619">
        <v>0</v>
      </c>
      <c r="F13" s="409" t="str">
        <f t="shared" si="3"/>
        <v/>
      </c>
      <c r="G13" s="409">
        <f t="shared" si="4"/>
        <v>47164000</v>
      </c>
      <c r="H13" s="384">
        <f t="shared" si="0"/>
        <v>0</v>
      </c>
      <c r="I13" s="414" t="str">
        <f t="shared" si="1"/>
        <v/>
      </c>
      <c r="J13" s="411" t="str">
        <f t="shared" si="2"/>
        <v/>
      </c>
    </row>
    <row r="14" spans="1:10" x14ac:dyDescent="0.25">
      <c r="A14" s="383" t="s">
        <v>299</v>
      </c>
      <c r="B14" s="617">
        <v>0</v>
      </c>
      <c r="C14" s="618">
        <v>5895500</v>
      </c>
      <c r="D14" s="619">
        <v>0</v>
      </c>
      <c r="E14" s="619">
        <v>0</v>
      </c>
      <c r="F14" s="409" t="str">
        <f t="shared" si="3"/>
        <v/>
      </c>
      <c r="G14" s="409">
        <f t="shared" si="4"/>
        <v>53059500</v>
      </c>
      <c r="H14" s="384">
        <f t="shared" si="0"/>
        <v>0</v>
      </c>
      <c r="I14" s="414" t="str">
        <f t="shared" si="1"/>
        <v/>
      </c>
      <c r="J14" s="411" t="str">
        <f t="shared" si="2"/>
        <v/>
      </c>
    </row>
    <row r="15" spans="1:10" x14ac:dyDescent="0.25">
      <c r="A15" s="383" t="s">
        <v>300</v>
      </c>
      <c r="B15" s="617">
        <v>0</v>
      </c>
      <c r="C15" s="618">
        <v>5895500</v>
      </c>
      <c r="D15" s="619">
        <v>0</v>
      </c>
      <c r="E15" s="619">
        <v>0</v>
      </c>
      <c r="F15" s="409" t="str">
        <f t="shared" si="3"/>
        <v/>
      </c>
      <c r="G15" s="409">
        <f t="shared" si="4"/>
        <v>58955000</v>
      </c>
      <c r="H15" s="384">
        <f t="shared" si="0"/>
        <v>0</v>
      </c>
      <c r="I15" s="414" t="str">
        <f t="shared" si="1"/>
        <v/>
      </c>
      <c r="J15" s="411" t="str">
        <f t="shared" si="2"/>
        <v/>
      </c>
    </row>
    <row r="16" spans="1:10" x14ac:dyDescent="0.25">
      <c r="A16" s="383" t="s">
        <v>301</v>
      </c>
      <c r="B16" s="617">
        <v>0</v>
      </c>
      <c r="C16" s="618">
        <v>5895500</v>
      </c>
      <c r="D16" s="619">
        <v>0</v>
      </c>
      <c r="E16" s="619">
        <v>0</v>
      </c>
      <c r="F16" s="409" t="str">
        <f t="shared" si="3"/>
        <v/>
      </c>
      <c r="G16" s="409">
        <f t="shared" si="4"/>
        <v>64850500</v>
      </c>
      <c r="H16" s="384">
        <f t="shared" si="0"/>
        <v>0</v>
      </c>
      <c r="I16" s="414" t="str">
        <f t="shared" si="1"/>
        <v/>
      </c>
      <c r="J16" s="411" t="str">
        <f t="shared" si="2"/>
        <v/>
      </c>
    </row>
    <row r="17" spans="1:10" x14ac:dyDescent="0.25">
      <c r="A17" s="397" t="s">
        <v>302</v>
      </c>
      <c r="B17" s="621">
        <v>0</v>
      </c>
      <c r="C17" s="622">
        <v>5895500</v>
      </c>
      <c r="D17" s="623">
        <v>0</v>
      </c>
      <c r="E17" s="623">
        <v>0</v>
      </c>
      <c r="F17" s="409" t="str">
        <f t="shared" si="3"/>
        <v/>
      </c>
      <c r="G17" s="409">
        <f t="shared" si="4"/>
        <v>70746000</v>
      </c>
      <c r="H17" s="384">
        <f t="shared" si="0"/>
        <v>0</v>
      </c>
      <c r="I17" s="414" t="str">
        <f t="shared" si="1"/>
        <v/>
      </c>
      <c r="J17" s="411" t="str">
        <f t="shared" si="2"/>
        <v/>
      </c>
    </row>
    <row r="18" spans="1:10" x14ac:dyDescent="0.25">
      <c r="A18" s="386" t="s">
        <v>303</v>
      </c>
      <c r="B18" s="396">
        <v>0</v>
      </c>
      <c r="C18" s="400">
        <f>SUM(C6:C17)</f>
        <v>70746000</v>
      </c>
      <c r="D18" s="385">
        <v>0</v>
      </c>
      <c r="E18" s="385">
        <f>SUM(E6:E17)</f>
        <v>15954351</v>
      </c>
      <c r="F18" s="408"/>
      <c r="G18" s="408"/>
      <c r="H18" s="408"/>
      <c r="I18" s="410"/>
      <c r="J18" s="395"/>
    </row>
  </sheetData>
  <mergeCells count="3">
    <mergeCell ref="A2:A3"/>
    <mergeCell ref="A1:J1"/>
    <mergeCell ref="C2:J2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W49"/>
  <sheetViews>
    <sheetView tabSelected="1" zoomScaleNormal="100" workbookViewId="0">
      <pane xSplit="3" ySplit="4" topLeftCell="E23" activePane="bottomRight" state="frozen"/>
      <selection pane="topRight" activeCell="D1" sqref="D1"/>
      <selection pane="bottomLeft" activeCell="A5" sqref="A5"/>
      <selection pane="bottomRight" activeCell="N6" activeCellId="1" sqref="N21 N6:N18"/>
    </sheetView>
  </sheetViews>
  <sheetFormatPr defaultRowHeight="15" x14ac:dyDescent="0.25"/>
  <cols>
    <col min="1" max="1" width="30" customWidth="1"/>
    <col min="2" max="2" width="3.140625" bestFit="1" customWidth="1"/>
    <col min="3" max="3" width="6.85546875" hidden="1" customWidth="1"/>
    <col min="4" max="4" width="7.7109375" bestFit="1" customWidth="1"/>
    <col min="5" max="5" width="9.28515625" style="234" customWidth="1"/>
    <col min="6" max="6" width="8.140625" style="234" customWidth="1"/>
    <col min="7" max="7" width="7.7109375" customWidth="1"/>
    <col min="8" max="8" width="7.5703125" customWidth="1"/>
    <col min="9" max="9" width="8.7109375" customWidth="1"/>
    <col min="10" max="10" width="7.42578125" bestFit="1" customWidth="1"/>
    <col min="11" max="11" width="7.7109375" customWidth="1"/>
    <col min="12" max="12" width="7.85546875" customWidth="1"/>
    <col min="13" max="13" width="7.7109375" customWidth="1"/>
    <col min="14" max="15" width="7.7109375" bestFit="1" customWidth="1"/>
    <col min="16" max="16" width="7" customWidth="1"/>
    <col min="17" max="17" width="7.28515625" customWidth="1"/>
    <col min="18" max="18" width="9.7109375" bestFit="1" customWidth="1"/>
    <col min="19" max="19" width="10" customWidth="1"/>
    <col min="20" max="20" width="13.140625" bestFit="1" customWidth="1"/>
    <col min="21" max="21" width="15.28515625" bestFit="1" customWidth="1"/>
    <col min="23" max="23" width="10" bestFit="1" customWidth="1"/>
  </cols>
  <sheetData>
    <row r="1" spans="1:23" x14ac:dyDescent="0.25">
      <c r="A1" s="760" t="s">
        <v>397</v>
      </c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  <c r="R1" s="760"/>
      <c r="S1" s="760"/>
    </row>
    <row r="2" spans="1:23" x14ac:dyDescent="0.25">
      <c r="A2" s="753" t="s">
        <v>0</v>
      </c>
      <c r="B2" s="755" t="s">
        <v>1</v>
      </c>
      <c r="C2" s="6" t="s">
        <v>2</v>
      </c>
      <c r="D2" s="757" t="s">
        <v>369</v>
      </c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8"/>
      <c r="Q2" s="758"/>
      <c r="R2" s="758"/>
      <c r="S2" s="759"/>
    </row>
    <row r="3" spans="1:23" ht="38.25" x14ac:dyDescent="0.25">
      <c r="A3" s="754"/>
      <c r="B3" s="756"/>
      <c r="C3" s="7" t="s">
        <v>3</v>
      </c>
      <c r="D3" s="10" t="s">
        <v>4</v>
      </c>
      <c r="E3" s="5" t="s">
        <v>398</v>
      </c>
      <c r="F3" s="5" t="s">
        <v>399</v>
      </c>
      <c r="G3" s="5" t="s">
        <v>400</v>
      </c>
      <c r="H3" s="5" t="s">
        <v>401</v>
      </c>
      <c r="I3" s="5" t="s">
        <v>402</v>
      </c>
      <c r="J3" s="5" t="s">
        <v>403</v>
      </c>
      <c r="K3" s="5" t="s">
        <v>405</v>
      </c>
      <c r="L3" s="5" t="s">
        <v>404</v>
      </c>
      <c r="M3" s="5" t="s">
        <v>406</v>
      </c>
      <c r="N3" s="5" t="s">
        <v>407</v>
      </c>
      <c r="O3" s="5" t="s">
        <v>408</v>
      </c>
      <c r="P3" s="5" t="s">
        <v>409</v>
      </c>
      <c r="Q3" s="5" t="s">
        <v>9</v>
      </c>
      <c r="R3" s="11" t="s">
        <v>9</v>
      </c>
      <c r="S3" s="8" t="s">
        <v>10</v>
      </c>
    </row>
    <row r="4" spans="1:23" x14ac:dyDescent="0.25">
      <c r="A4" s="682" t="s">
        <v>11</v>
      </c>
      <c r="B4" s="424"/>
      <c r="C4" s="9"/>
      <c r="D4" s="746" t="s">
        <v>360</v>
      </c>
      <c r="E4" s="746" t="s">
        <v>360</v>
      </c>
      <c r="F4" s="746" t="s">
        <v>360</v>
      </c>
      <c r="G4" s="746" t="s">
        <v>360</v>
      </c>
      <c r="H4" s="746" t="s">
        <v>360</v>
      </c>
      <c r="I4" s="746" t="s">
        <v>360</v>
      </c>
      <c r="J4" s="746" t="s">
        <v>360</v>
      </c>
      <c r="K4" s="746" t="s">
        <v>360</v>
      </c>
      <c r="L4" s="746" t="s">
        <v>360</v>
      </c>
      <c r="M4" s="746" t="s">
        <v>360</v>
      </c>
      <c r="N4" s="746" t="s">
        <v>360</v>
      </c>
      <c r="O4" s="746" t="s">
        <v>360</v>
      </c>
      <c r="P4" s="746" t="s">
        <v>360</v>
      </c>
      <c r="Q4" s="2"/>
      <c r="R4" s="12" t="s">
        <v>12</v>
      </c>
      <c r="S4" s="746" t="s">
        <v>360</v>
      </c>
    </row>
    <row r="5" spans="1:23" x14ac:dyDescent="0.25">
      <c r="A5" s="425" t="s">
        <v>13</v>
      </c>
      <c r="B5" s="426"/>
      <c r="C5" s="427"/>
      <c r="D5" s="428"/>
      <c r="E5" s="574"/>
      <c r="F5" s="574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568"/>
      <c r="S5" s="430"/>
    </row>
    <row r="6" spans="1:23" x14ac:dyDescent="0.25">
      <c r="A6" s="3" t="s">
        <v>14</v>
      </c>
      <c r="B6" s="13"/>
      <c r="C6" s="431"/>
      <c r="D6" s="688">
        <v>11992790</v>
      </c>
      <c r="E6" s="1">
        <f t="shared" ref="E6:E22" si="0">D6/12</f>
        <v>999399.16666666663</v>
      </c>
      <c r="F6" s="1">
        <v>497090</v>
      </c>
      <c r="G6" s="1">
        <v>962839.5</v>
      </c>
      <c r="H6" s="1">
        <f t="shared" ref="H6:H22" si="1">D6/12</f>
        <v>999399.16666666663</v>
      </c>
      <c r="I6" s="1">
        <v>476715</v>
      </c>
      <c r="J6" s="1">
        <v>1318439.1300000001</v>
      </c>
      <c r="K6" s="1">
        <f t="shared" ref="K6:K22" si="2">D6/12</f>
        <v>999399.16666666663</v>
      </c>
      <c r="L6" s="1">
        <v>500090</v>
      </c>
      <c r="M6" s="1">
        <v>441258</v>
      </c>
      <c r="N6" s="1">
        <f>F6+I6+L6</f>
        <v>1473895</v>
      </c>
      <c r="O6" s="1">
        <f>G6+J6+M6</f>
        <v>2722536.63</v>
      </c>
      <c r="P6" s="1">
        <f>E6+H6+K6</f>
        <v>2998197.5</v>
      </c>
      <c r="Q6" s="1">
        <f>N6-P6</f>
        <v>-1524302.5</v>
      </c>
      <c r="R6" s="700">
        <f>Q6/P6</f>
        <v>-0.50840630078572213</v>
      </c>
      <c r="S6" s="440">
        <f>D6</f>
        <v>11992790</v>
      </c>
      <c r="T6" s="551"/>
      <c r="U6" s="551"/>
      <c r="V6" s="551"/>
      <c r="W6" s="551"/>
    </row>
    <row r="7" spans="1:23" x14ac:dyDescent="0.25">
      <c r="A7" s="3" t="s">
        <v>15</v>
      </c>
      <c r="B7" s="13"/>
      <c r="C7" s="431"/>
      <c r="D7" s="1">
        <v>0</v>
      </c>
      <c r="E7" s="1">
        <f t="shared" si="0"/>
        <v>0</v>
      </c>
      <c r="F7" s="1">
        <v>0</v>
      </c>
      <c r="G7" s="1">
        <v>0</v>
      </c>
      <c r="H7" s="1">
        <f t="shared" si="1"/>
        <v>0</v>
      </c>
      <c r="I7" s="1">
        <v>0</v>
      </c>
      <c r="J7" s="1">
        <v>0</v>
      </c>
      <c r="K7" s="1">
        <f t="shared" si="2"/>
        <v>0</v>
      </c>
      <c r="L7" s="1">
        <v>0</v>
      </c>
      <c r="M7" s="1">
        <v>0</v>
      </c>
      <c r="N7" s="1">
        <f t="shared" ref="N7:N22" si="3">F7+I7+L7</f>
        <v>0</v>
      </c>
      <c r="O7" s="1">
        <f t="shared" ref="O7:O22" si="4">G7+J7+M7</f>
        <v>0</v>
      </c>
      <c r="P7" s="1">
        <f t="shared" ref="P7:P22" si="5">E7+H7+K7</f>
        <v>0</v>
      </c>
      <c r="Q7" s="1">
        <f t="shared" ref="Q7:Q22" si="6">N7-P7</f>
        <v>0</v>
      </c>
      <c r="R7" s="700">
        <v>0</v>
      </c>
      <c r="S7" s="440">
        <f t="shared" ref="S7:S22" si="7">D7</f>
        <v>0</v>
      </c>
      <c r="T7" s="551"/>
      <c r="U7" s="551"/>
      <c r="V7" s="551"/>
      <c r="W7" s="551"/>
    </row>
    <row r="8" spans="1:23" x14ac:dyDescent="0.25">
      <c r="A8" s="3" t="s">
        <v>17</v>
      </c>
      <c r="B8" s="13"/>
      <c r="C8" s="431"/>
      <c r="D8" s="688">
        <v>9208871</v>
      </c>
      <c r="E8" s="1">
        <f t="shared" si="0"/>
        <v>767405.91666666663</v>
      </c>
      <c r="F8" s="1">
        <v>668105</v>
      </c>
      <c r="G8" s="1">
        <v>166823.29999999999</v>
      </c>
      <c r="H8" s="1">
        <f t="shared" si="1"/>
        <v>767405.91666666663</v>
      </c>
      <c r="I8" s="1">
        <v>591693</v>
      </c>
      <c r="J8" s="1">
        <v>449144.83000000007</v>
      </c>
      <c r="K8" s="1">
        <f t="shared" si="2"/>
        <v>767405.91666666663</v>
      </c>
      <c r="L8" s="1">
        <v>619547</v>
      </c>
      <c r="M8" s="1">
        <v>690662</v>
      </c>
      <c r="N8" s="1">
        <f t="shared" si="3"/>
        <v>1879345</v>
      </c>
      <c r="O8" s="1">
        <f t="shared" si="4"/>
        <v>1306630.1300000001</v>
      </c>
      <c r="P8" s="1">
        <f>E8+H8+K8</f>
        <v>2302217.75</v>
      </c>
      <c r="Q8" s="1">
        <f t="shared" si="6"/>
        <v>-422872.75</v>
      </c>
      <c r="R8" s="700">
        <f>Q8/P8</f>
        <v>-0.18368060536411032</v>
      </c>
      <c r="S8" s="440">
        <f t="shared" si="7"/>
        <v>9208871</v>
      </c>
      <c r="T8" s="551"/>
      <c r="U8" s="551"/>
      <c r="V8" s="551"/>
      <c r="W8" s="551"/>
    </row>
    <row r="9" spans="1:23" x14ac:dyDescent="0.25">
      <c r="A9" s="3" t="s">
        <v>18</v>
      </c>
      <c r="B9" s="13"/>
      <c r="C9" s="431"/>
      <c r="D9" s="688">
        <v>7710116</v>
      </c>
      <c r="E9" s="1">
        <f t="shared" si="0"/>
        <v>642509.66666666663</v>
      </c>
      <c r="F9" s="1">
        <v>771246</v>
      </c>
      <c r="G9" s="1">
        <v>327452.2</v>
      </c>
      <c r="H9" s="1">
        <f t="shared" si="1"/>
        <v>642509.66666666663</v>
      </c>
      <c r="I9" s="1">
        <v>2136380</v>
      </c>
      <c r="J9" s="1">
        <v>318035.09999999998</v>
      </c>
      <c r="K9" s="1">
        <f t="shared" si="2"/>
        <v>642509.66666666663</v>
      </c>
      <c r="L9" s="1">
        <v>575504</v>
      </c>
      <c r="M9" s="1">
        <v>269297</v>
      </c>
      <c r="N9" s="1">
        <f t="shared" si="3"/>
        <v>3483130</v>
      </c>
      <c r="O9" s="1">
        <f t="shared" si="4"/>
        <v>914784.3</v>
      </c>
      <c r="P9" s="1">
        <f t="shared" si="5"/>
        <v>1927529</v>
      </c>
      <c r="Q9" s="1">
        <f t="shared" si="6"/>
        <v>1555601</v>
      </c>
      <c r="R9" s="700">
        <f>Q9/P9</f>
        <v>0.80704414823330806</v>
      </c>
      <c r="S9" s="440">
        <f t="shared" si="7"/>
        <v>7710116</v>
      </c>
      <c r="T9" s="551"/>
      <c r="U9" s="551"/>
      <c r="V9" s="551"/>
      <c r="W9" s="551"/>
    </row>
    <row r="10" spans="1:23" x14ac:dyDescent="0.25">
      <c r="A10" s="3" t="s">
        <v>19</v>
      </c>
      <c r="B10" s="13"/>
      <c r="C10" s="431"/>
      <c r="D10" s="688">
        <v>6884936</v>
      </c>
      <c r="E10" s="1">
        <f t="shared" si="0"/>
        <v>573744.66666666663</v>
      </c>
      <c r="F10" s="1">
        <v>753337</v>
      </c>
      <c r="G10" s="1">
        <v>420262.9</v>
      </c>
      <c r="H10" s="1">
        <f t="shared" si="1"/>
        <v>573744.66666666663</v>
      </c>
      <c r="I10" s="1">
        <v>750673</v>
      </c>
      <c r="J10" s="1">
        <v>462344.44</v>
      </c>
      <c r="K10" s="1">
        <f t="shared" si="2"/>
        <v>573744.66666666663</v>
      </c>
      <c r="L10" s="1">
        <v>750780</v>
      </c>
      <c r="M10" s="1">
        <v>411944</v>
      </c>
      <c r="N10" s="1">
        <f t="shared" si="3"/>
        <v>2254790</v>
      </c>
      <c r="O10" s="1">
        <f t="shared" si="4"/>
        <v>1294551.3400000001</v>
      </c>
      <c r="P10" s="1">
        <f t="shared" si="5"/>
        <v>1721234</v>
      </c>
      <c r="Q10" s="1">
        <f t="shared" si="6"/>
        <v>533556</v>
      </c>
      <c r="R10" s="700">
        <f>Q10/P10</f>
        <v>0.30998458082980002</v>
      </c>
      <c r="S10" s="440">
        <f t="shared" si="7"/>
        <v>6884936</v>
      </c>
      <c r="T10" s="551"/>
      <c r="U10" s="551"/>
      <c r="V10" s="551"/>
      <c r="W10" s="551"/>
    </row>
    <row r="11" spans="1:23" x14ac:dyDescent="0.25">
      <c r="A11" s="14" t="s">
        <v>20</v>
      </c>
      <c r="B11" s="13"/>
      <c r="C11" s="431"/>
      <c r="D11" s="688">
        <v>6569898</v>
      </c>
      <c r="E11" s="1">
        <f t="shared" si="0"/>
        <v>547491.5</v>
      </c>
      <c r="F11" s="1">
        <v>711420</v>
      </c>
      <c r="G11" s="1">
        <v>403002.2</v>
      </c>
      <c r="H11" s="1">
        <f t="shared" si="1"/>
        <v>547491.5</v>
      </c>
      <c r="I11" s="1">
        <v>709313</v>
      </c>
      <c r="J11" s="1">
        <v>463780.46</v>
      </c>
      <c r="K11" s="1">
        <f t="shared" si="2"/>
        <v>547491.5</v>
      </c>
      <c r="L11" s="1">
        <v>709440</v>
      </c>
      <c r="M11" s="1">
        <v>401598</v>
      </c>
      <c r="N11" s="1">
        <f t="shared" si="3"/>
        <v>2130173</v>
      </c>
      <c r="O11" s="1">
        <f t="shared" si="4"/>
        <v>1268380.6600000001</v>
      </c>
      <c r="P11" s="1">
        <f t="shared" si="5"/>
        <v>1642474.5</v>
      </c>
      <c r="Q11" s="1">
        <f t="shared" si="6"/>
        <v>487698.5</v>
      </c>
      <c r="R11" s="700">
        <f>Q11/P11</f>
        <v>0.29692911518565435</v>
      </c>
      <c r="S11" s="440">
        <f t="shared" si="7"/>
        <v>6569898</v>
      </c>
      <c r="T11" s="551"/>
      <c r="U11" s="551"/>
      <c r="V11" s="551"/>
      <c r="W11" s="551"/>
    </row>
    <row r="12" spans="1:23" x14ac:dyDescent="0.25">
      <c r="A12" s="3" t="s">
        <v>21</v>
      </c>
      <c r="B12" s="13"/>
      <c r="C12" s="431"/>
      <c r="D12" s="1">
        <v>0</v>
      </c>
      <c r="E12" s="1">
        <f t="shared" si="0"/>
        <v>0</v>
      </c>
      <c r="F12" s="1">
        <v>0</v>
      </c>
      <c r="G12" s="1">
        <v>0</v>
      </c>
      <c r="H12" s="1">
        <f t="shared" si="1"/>
        <v>0</v>
      </c>
      <c r="I12" s="1">
        <v>0</v>
      </c>
      <c r="J12" s="1">
        <v>0</v>
      </c>
      <c r="K12" s="1">
        <f t="shared" si="2"/>
        <v>0</v>
      </c>
      <c r="L12" s="1">
        <v>0</v>
      </c>
      <c r="M12" s="1">
        <v>0</v>
      </c>
      <c r="N12" s="1">
        <f t="shared" si="3"/>
        <v>0</v>
      </c>
      <c r="O12" s="1">
        <f t="shared" si="4"/>
        <v>0</v>
      </c>
      <c r="P12" s="1">
        <f t="shared" si="5"/>
        <v>0</v>
      </c>
      <c r="Q12" s="1">
        <f t="shared" si="6"/>
        <v>0</v>
      </c>
      <c r="R12" s="700">
        <v>0</v>
      </c>
      <c r="S12" s="440">
        <f t="shared" si="7"/>
        <v>0</v>
      </c>
      <c r="T12" s="570"/>
    </row>
    <row r="13" spans="1:23" x14ac:dyDescent="0.25">
      <c r="A13" s="3" t="s">
        <v>22</v>
      </c>
      <c r="B13" s="13"/>
      <c r="C13" s="431"/>
      <c r="D13" s="688">
        <v>4592838</v>
      </c>
      <c r="E13" s="1">
        <f t="shared" si="0"/>
        <v>382736.5</v>
      </c>
      <c r="F13" s="1">
        <v>12960653</v>
      </c>
      <c r="G13" s="1">
        <v>8404.76</v>
      </c>
      <c r="H13" s="1">
        <f t="shared" si="1"/>
        <v>382736.5</v>
      </c>
      <c r="I13" s="1">
        <v>-5785125</v>
      </c>
      <c r="J13" s="1">
        <v>17673.009999999998</v>
      </c>
      <c r="K13" s="1">
        <f t="shared" si="2"/>
        <v>382736.5</v>
      </c>
      <c r="L13" s="1">
        <v>88467</v>
      </c>
      <c r="M13" s="1">
        <v>9297</v>
      </c>
      <c r="N13" s="1">
        <f t="shared" si="3"/>
        <v>7263995</v>
      </c>
      <c r="O13" s="1">
        <f t="shared" si="4"/>
        <v>35374.769999999997</v>
      </c>
      <c r="P13" s="1">
        <f t="shared" si="5"/>
        <v>1148209.5</v>
      </c>
      <c r="Q13" s="1">
        <f t="shared" si="6"/>
        <v>6115785.5</v>
      </c>
      <c r="R13" s="700">
        <f>Q13/P13</f>
        <v>5.3263672700844227</v>
      </c>
      <c r="S13" s="440">
        <f t="shared" si="7"/>
        <v>4592838</v>
      </c>
      <c r="T13" s="570"/>
    </row>
    <row r="14" spans="1:23" x14ac:dyDescent="0.25">
      <c r="A14" s="3" t="s">
        <v>23</v>
      </c>
      <c r="B14" s="13"/>
      <c r="C14" s="431"/>
      <c r="D14" s="688">
        <v>244216</v>
      </c>
      <c r="E14" s="1">
        <f t="shared" si="0"/>
        <v>20351.333333333332</v>
      </c>
      <c r="F14" s="1">
        <v>4149</v>
      </c>
      <c r="G14" s="1">
        <v>0</v>
      </c>
      <c r="H14" s="1">
        <f t="shared" si="1"/>
        <v>20351.333333333332</v>
      </c>
      <c r="I14" s="1">
        <v>467153</v>
      </c>
      <c r="J14" s="1">
        <v>0</v>
      </c>
      <c r="K14" s="1">
        <f t="shared" si="2"/>
        <v>20351.333333333332</v>
      </c>
      <c r="L14" s="1">
        <v>1140</v>
      </c>
      <c r="M14" s="1">
        <v>0</v>
      </c>
      <c r="N14" s="1">
        <f t="shared" si="3"/>
        <v>472442</v>
      </c>
      <c r="O14" s="1">
        <f>G14+J14+M14</f>
        <v>0</v>
      </c>
      <c r="P14" s="1">
        <f t="shared" si="5"/>
        <v>61054</v>
      </c>
      <c r="Q14" s="1">
        <f t="shared" si="6"/>
        <v>411388</v>
      </c>
      <c r="R14" s="700">
        <f>Q14/P14</f>
        <v>6.7381006977429818</v>
      </c>
      <c r="S14" s="440">
        <f t="shared" si="7"/>
        <v>244216</v>
      </c>
      <c r="T14" s="570"/>
    </row>
    <row r="15" spans="1:23" x14ac:dyDescent="0.25">
      <c r="A15" s="3" t="s">
        <v>24</v>
      </c>
      <c r="B15" s="13"/>
      <c r="C15" s="431"/>
      <c r="D15" s="688">
        <v>11927627</v>
      </c>
      <c r="E15" s="1">
        <f t="shared" si="0"/>
        <v>993968.91666666663</v>
      </c>
      <c r="F15" s="1">
        <v>851533</v>
      </c>
      <c r="G15" s="1">
        <v>0</v>
      </c>
      <c r="H15" s="1">
        <f t="shared" si="1"/>
        <v>993968.91666666663</v>
      </c>
      <c r="I15" s="1">
        <v>447348</v>
      </c>
      <c r="J15" s="1">
        <v>0</v>
      </c>
      <c r="K15" s="1">
        <f t="shared" si="2"/>
        <v>993968.91666666663</v>
      </c>
      <c r="L15" s="1">
        <v>928739</v>
      </c>
      <c r="M15" s="1">
        <v>0</v>
      </c>
      <c r="N15" s="1">
        <f t="shared" si="3"/>
        <v>2227620</v>
      </c>
      <c r="O15" s="1">
        <f t="shared" si="4"/>
        <v>0</v>
      </c>
      <c r="P15" s="1">
        <f t="shared" si="5"/>
        <v>2981906.75</v>
      </c>
      <c r="Q15" s="1">
        <f t="shared" si="6"/>
        <v>-754286.75</v>
      </c>
      <c r="R15" s="700">
        <f>Q15/P15</f>
        <v>-0.25295450637415134</v>
      </c>
      <c r="S15" s="440">
        <f t="shared" si="7"/>
        <v>11927627</v>
      </c>
      <c r="T15" s="570"/>
    </row>
    <row r="16" spans="1:23" x14ac:dyDescent="0.25">
      <c r="A16" s="3" t="s">
        <v>25</v>
      </c>
      <c r="B16" s="13"/>
      <c r="C16" s="431"/>
      <c r="D16" s="1">
        <v>0</v>
      </c>
      <c r="E16" s="1">
        <f t="shared" si="0"/>
        <v>0</v>
      </c>
      <c r="F16" s="1">
        <v>0</v>
      </c>
      <c r="G16" s="1">
        <v>0</v>
      </c>
      <c r="H16" s="1">
        <f t="shared" si="1"/>
        <v>0</v>
      </c>
      <c r="I16" s="1">
        <v>0</v>
      </c>
      <c r="J16" s="1">
        <v>0</v>
      </c>
      <c r="K16" s="1">
        <f t="shared" si="2"/>
        <v>0</v>
      </c>
      <c r="L16" s="1">
        <v>0</v>
      </c>
      <c r="M16" s="1">
        <v>0</v>
      </c>
      <c r="N16" s="1">
        <f t="shared" si="3"/>
        <v>0</v>
      </c>
      <c r="O16" s="1">
        <f t="shared" si="4"/>
        <v>0</v>
      </c>
      <c r="P16" s="1">
        <f t="shared" si="5"/>
        <v>0</v>
      </c>
      <c r="Q16" s="1">
        <f t="shared" si="6"/>
        <v>0</v>
      </c>
      <c r="R16" s="700">
        <v>0</v>
      </c>
      <c r="S16" s="440">
        <f t="shared" si="7"/>
        <v>0</v>
      </c>
      <c r="T16" s="570"/>
    </row>
    <row r="17" spans="1:23" x14ac:dyDescent="0.25">
      <c r="A17" s="3" t="s">
        <v>26</v>
      </c>
      <c r="B17" s="13"/>
      <c r="C17" s="431"/>
      <c r="D17" s="688">
        <v>75000</v>
      </c>
      <c r="E17" s="1">
        <f t="shared" si="0"/>
        <v>6250</v>
      </c>
      <c r="F17" s="1">
        <v>0</v>
      </c>
      <c r="G17" s="1">
        <v>14400</v>
      </c>
      <c r="H17" s="1">
        <f t="shared" si="1"/>
        <v>6250</v>
      </c>
      <c r="I17" s="1">
        <v>600</v>
      </c>
      <c r="J17" s="1">
        <v>9100</v>
      </c>
      <c r="K17" s="1">
        <f t="shared" si="2"/>
        <v>6250</v>
      </c>
      <c r="L17" s="1">
        <v>0</v>
      </c>
      <c r="M17" s="1">
        <v>0</v>
      </c>
      <c r="N17" s="1">
        <f t="shared" si="3"/>
        <v>600</v>
      </c>
      <c r="O17" s="1">
        <f>G17+J17+M17</f>
        <v>23500</v>
      </c>
      <c r="P17" s="1">
        <f t="shared" si="5"/>
        <v>18750</v>
      </c>
      <c r="Q17" s="1">
        <f t="shared" si="6"/>
        <v>-18150</v>
      </c>
      <c r="R17" s="700">
        <f>Q17/P17</f>
        <v>-0.96799999999999997</v>
      </c>
      <c r="S17" s="440">
        <f t="shared" si="7"/>
        <v>75000</v>
      </c>
      <c r="T17" s="570"/>
    </row>
    <row r="18" spans="1:23" x14ac:dyDescent="0.25">
      <c r="A18" s="3" t="s">
        <v>27</v>
      </c>
      <c r="B18" s="13"/>
      <c r="C18" s="431"/>
      <c r="D18" s="688">
        <v>28036</v>
      </c>
      <c r="E18" s="1">
        <f t="shared" si="0"/>
        <v>2336.3333333333335</v>
      </c>
      <c r="F18" s="1">
        <v>2084</v>
      </c>
      <c r="G18" s="1">
        <v>2376</v>
      </c>
      <c r="H18" s="1">
        <f t="shared" si="1"/>
        <v>2336.3333333333335</v>
      </c>
      <c r="I18" s="1">
        <v>2431</v>
      </c>
      <c r="J18" s="1">
        <v>10379.24</v>
      </c>
      <c r="K18" s="1">
        <f t="shared" si="2"/>
        <v>2336.3333333333335</v>
      </c>
      <c r="L18" s="1">
        <v>1042</v>
      </c>
      <c r="M18" s="1">
        <v>9178</v>
      </c>
      <c r="N18" s="1">
        <f t="shared" si="3"/>
        <v>5557</v>
      </c>
      <c r="O18" s="1">
        <f t="shared" si="4"/>
        <v>21933.239999999998</v>
      </c>
      <c r="P18" s="1">
        <f t="shared" si="5"/>
        <v>7009</v>
      </c>
      <c r="Q18" s="1">
        <f t="shared" si="6"/>
        <v>-1452</v>
      </c>
      <c r="R18" s="700">
        <f>Q18/P18</f>
        <v>-0.20716222000285348</v>
      </c>
      <c r="S18" s="440">
        <f t="shared" si="7"/>
        <v>28036</v>
      </c>
      <c r="T18" s="570"/>
    </row>
    <row r="19" spans="1:23" x14ac:dyDescent="0.25">
      <c r="A19" s="3" t="s">
        <v>28</v>
      </c>
      <c r="B19" s="13"/>
      <c r="C19" s="431"/>
      <c r="D19" s="1">
        <v>0</v>
      </c>
      <c r="E19" s="1">
        <f t="shared" si="0"/>
        <v>0</v>
      </c>
      <c r="F19" s="1">
        <v>0</v>
      </c>
      <c r="G19" s="1">
        <v>0</v>
      </c>
      <c r="H19" s="1">
        <f t="shared" si="1"/>
        <v>0</v>
      </c>
      <c r="I19" s="1">
        <v>0</v>
      </c>
      <c r="J19" s="1">
        <v>0</v>
      </c>
      <c r="K19" s="1">
        <f t="shared" si="2"/>
        <v>0</v>
      </c>
      <c r="L19" s="1">
        <v>0</v>
      </c>
      <c r="M19" s="1">
        <v>0</v>
      </c>
      <c r="N19" s="1">
        <f t="shared" si="3"/>
        <v>0</v>
      </c>
      <c r="O19" s="1">
        <f t="shared" si="4"/>
        <v>0</v>
      </c>
      <c r="P19" s="1">
        <f t="shared" si="5"/>
        <v>0</v>
      </c>
      <c r="Q19" s="1">
        <f t="shared" si="6"/>
        <v>0</v>
      </c>
      <c r="R19" s="700">
        <v>0</v>
      </c>
      <c r="S19" s="440">
        <f t="shared" si="7"/>
        <v>0</v>
      </c>
      <c r="T19" s="570"/>
    </row>
    <row r="20" spans="1:23" x14ac:dyDescent="0.25">
      <c r="A20" s="14" t="s">
        <v>29</v>
      </c>
      <c r="B20" s="13"/>
      <c r="C20" s="431"/>
      <c r="D20" s="688">
        <v>62840000</v>
      </c>
      <c r="E20" s="1">
        <v>24929000</v>
      </c>
      <c r="F20" s="1">
        <v>0</v>
      </c>
      <c r="G20" s="1">
        <v>0</v>
      </c>
      <c r="H20" s="1">
        <v>2260000</v>
      </c>
      <c r="I20" s="1">
        <v>450000</v>
      </c>
      <c r="J20" s="1">
        <v>450000</v>
      </c>
      <c r="K20" s="1">
        <f t="shared" si="2"/>
        <v>5236666.666666667</v>
      </c>
      <c r="L20" s="1">
        <v>18191000</v>
      </c>
      <c r="M20" s="1">
        <v>18191000</v>
      </c>
      <c r="N20" s="1">
        <f t="shared" si="3"/>
        <v>18641000</v>
      </c>
      <c r="O20" s="1">
        <f>G20+J20+M20</f>
        <v>18641000</v>
      </c>
      <c r="P20" s="1">
        <f>E20+H20+K20</f>
        <v>32425666.666666668</v>
      </c>
      <c r="Q20" s="1">
        <f t="shared" si="6"/>
        <v>-13784666.666666668</v>
      </c>
      <c r="R20" s="700">
        <f>Q20/P20</f>
        <v>-0.42511590612374972</v>
      </c>
      <c r="S20" s="440">
        <f t="shared" si="7"/>
        <v>62840000</v>
      </c>
      <c r="T20" s="570"/>
      <c r="U20" s="570"/>
    </row>
    <row r="21" spans="1:23" x14ac:dyDescent="0.25">
      <c r="A21" s="3" t="s">
        <v>30</v>
      </c>
      <c r="B21" s="13"/>
      <c r="C21" s="431"/>
      <c r="D21" s="688">
        <v>3612152</v>
      </c>
      <c r="E21" s="1">
        <f t="shared" si="0"/>
        <v>301012.66666666669</v>
      </c>
      <c r="F21" s="1">
        <v>26061</v>
      </c>
      <c r="G21" s="1">
        <v>467442.8</v>
      </c>
      <c r="H21" s="1">
        <f t="shared" si="1"/>
        <v>301012.66666666669</v>
      </c>
      <c r="I21" s="1">
        <v>32135</v>
      </c>
      <c r="J21" s="1">
        <v>334765.02999999985</v>
      </c>
      <c r="K21" s="1">
        <f t="shared" si="2"/>
        <v>301012.66666666669</v>
      </c>
      <c r="L21" s="1">
        <v>19612</v>
      </c>
      <c r="M21" s="1">
        <v>51688</v>
      </c>
      <c r="N21" s="1">
        <f t="shared" si="3"/>
        <v>77808</v>
      </c>
      <c r="O21" s="1">
        <f>G21+J21+M21</f>
        <v>853895.82999999984</v>
      </c>
      <c r="P21" s="1">
        <f t="shared" si="5"/>
        <v>903038</v>
      </c>
      <c r="Q21" s="1">
        <f t="shared" si="6"/>
        <v>-825230</v>
      </c>
      <c r="R21" s="700">
        <f>Q21/P21</f>
        <v>-0.91383751292858106</v>
      </c>
      <c r="S21" s="440">
        <f t="shared" si="7"/>
        <v>3612152</v>
      </c>
      <c r="T21" s="570"/>
      <c r="W21" s="570"/>
    </row>
    <row r="22" spans="1:23" x14ac:dyDescent="0.25">
      <c r="A22" s="3" t="s">
        <v>31</v>
      </c>
      <c r="B22" s="13"/>
      <c r="C22" s="431"/>
      <c r="D22" s="1">
        <v>0</v>
      </c>
      <c r="E22" s="1">
        <f t="shared" si="0"/>
        <v>0</v>
      </c>
      <c r="F22" s="1">
        <v>0</v>
      </c>
      <c r="G22" s="1">
        <v>0</v>
      </c>
      <c r="H22" s="1">
        <f t="shared" si="1"/>
        <v>0</v>
      </c>
      <c r="I22" s="1">
        <v>0</v>
      </c>
      <c r="J22" s="1">
        <v>0</v>
      </c>
      <c r="K22" s="1">
        <f t="shared" si="2"/>
        <v>0</v>
      </c>
      <c r="L22" s="1">
        <v>0</v>
      </c>
      <c r="M22" s="1">
        <v>0</v>
      </c>
      <c r="N22" s="1">
        <f t="shared" si="3"/>
        <v>0</v>
      </c>
      <c r="O22" s="1">
        <f t="shared" si="4"/>
        <v>0</v>
      </c>
      <c r="P22" s="1">
        <f t="shared" si="5"/>
        <v>0</v>
      </c>
      <c r="Q22" s="1">
        <f t="shared" si="6"/>
        <v>0</v>
      </c>
      <c r="R22" s="700">
        <v>0</v>
      </c>
      <c r="S22" s="650">
        <f t="shared" si="7"/>
        <v>0</v>
      </c>
      <c r="T22" s="570"/>
    </row>
    <row r="23" spans="1:23" ht="25.5" x14ac:dyDescent="0.25">
      <c r="A23" s="434" t="s">
        <v>32</v>
      </c>
      <c r="B23" s="435"/>
      <c r="C23" s="436">
        <v>0</v>
      </c>
      <c r="D23" s="607">
        <f t="shared" ref="D23:K23" si="8">SUM(D6:D22)</f>
        <v>125686480</v>
      </c>
      <c r="E23" s="607">
        <f t="shared" si="8"/>
        <v>30166206.666666668</v>
      </c>
      <c r="F23" s="607">
        <f t="shared" si="8"/>
        <v>17245678</v>
      </c>
      <c r="G23" s="607">
        <f t="shared" si="8"/>
        <v>2773003.6599999997</v>
      </c>
      <c r="H23" s="607">
        <f t="shared" si="8"/>
        <v>7497206.666666667</v>
      </c>
      <c r="I23" s="607">
        <f t="shared" si="8"/>
        <v>279316</v>
      </c>
      <c r="J23" s="607">
        <f t="shared" si="8"/>
        <v>3833661.2399999998</v>
      </c>
      <c r="K23" s="607">
        <f t="shared" si="8"/>
        <v>10473873.333333334</v>
      </c>
      <c r="L23" s="607">
        <f t="shared" ref="L23:S23" si="9">SUM(L6:L22)</f>
        <v>22385361</v>
      </c>
      <c r="M23" s="607">
        <f t="shared" si="9"/>
        <v>20475922</v>
      </c>
      <c r="N23" s="607">
        <f>SUM(N6:N22)</f>
        <v>39910355</v>
      </c>
      <c r="O23" s="607">
        <f t="shared" si="9"/>
        <v>27082586.899999999</v>
      </c>
      <c r="P23" s="607">
        <f>SUM(P6:P22)</f>
        <v>48137286.666666672</v>
      </c>
      <c r="Q23" s="607">
        <f t="shared" ref="Q23" si="10">P23-N23</f>
        <v>8226931.6666666716</v>
      </c>
      <c r="R23" s="701">
        <f>Q23/P23</f>
        <v>0.1709055959808288</v>
      </c>
      <c r="S23" s="703">
        <f t="shared" si="9"/>
        <v>125686480</v>
      </c>
      <c r="T23" s="702"/>
      <c r="U23" s="577"/>
    </row>
    <row r="24" spans="1:23" x14ac:dyDescent="0.25">
      <c r="A24" s="437"/>
      <c r="B24" s="13"/>
      <c r="C24" s="438"/>
      <c r="D24" s="439"/>
      <c r="E24" s="538"/>
      <c r="F24" s="53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569"/>
      <c r="S24" s="440"/>
    </row>
    <row r="25" spans="1:23" x14ac:dyDescent="0.25">
      <c r="A25" s="441" t="s">
        <v>33</v>
      </c>
      <c r="B25" s="442"/>
      <c r="C25" s="438"/>
      <c r="D25" s="439"/>
      <c r="E25" s="538"/>
      <c r="F25" s="53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69"/>
      <c r="S25" s="440"/>
    </row>
    <row r="26" spans="1:23" x14ac:dyDescent="0.25">
      <c r="A26" s="3" t="s">
        <v>34</v>
      </c>
      <c r="B26" s="13"/>
      <c r="C26" s="431"/>
      <c r="D26" s="688">
        <v>66871104.846571989</v>
      </c>
      <c r="E26" s="1">
        <f>D26/12</f>
        <v>5572592.0705476655</v>
      </c>
      <c r="F26" s="1">
        <v>4232910</v>
      </c>
      <c r="G26" s="1">
        <v>4459948</v>
      </c>
      <c r="H26" s="1">
        <f t="shared" ref="H26:H36" si="11">D26/12</f>
        <v>5572592.0705476655</v>
      </c>
      <c r="I26" s="1">
        <v>4391119</v>
      </c>
      <c r="J26" s="1">
        <v>4827431</v>
      </c>
      <c r="K26" s="1">
        <f t="shared" ref="K26:K36" si="12">D26/12</f>
        <v>5572592.0705476655</v>
      </c>
      <c r="L26" s="1">
        <v>4781868</v>
      </c>
      <c r="M26" s="1">
        <v>5484003</v>
      </c>
      <c r="N26" s="1">
        <f>F26+I26+L26</f>
        <v>13405897</v>
      </c>
      <c r="O26" s="1">
        <f>G26+J26+M26</f>
        <v>14771382</v>
      </c>
      <c r="P26" s="1">
        <f>E26+H26+K26</f>
        <v>16717776.211642995</v>
      </c>
      <c r="Q26" s="1">
        <f t="shared" ref="Q26:Q37" si="13">N26-P26</f>
        <v>-3311879.2116429955</v>
      </c>
      <c r="R26" s="700">
        <f>Q26/P26</f>
        <v>-0.19810524855192505</v>
      </c>
      <c r="S26" s="440">
        <f t="shared" ref="S26:S36" si="14">D26</f>
        <v>66871104.846571989</v>
      </c>
      <c r="T26" s="570"/>
    </row>
    <row r="27" spans="1:23" x14ac:dyDescent="0.25">
      <c r="A27" s="3" t="s">
        <v>35</v>
      </c>
      <c r="B27" s="13"/>
      <c r="C27" s="431"/>
      <c r="D27" s="688">
        <v>4804729.9032120006</v>
      </c>
      <c r="E27" s="1">
        <f t="shared" ref="E27:E36" si="15">D27/12</f>
        <v>400394.15860100003</v>
      </c>
      <c r="F27" s="1">
        <v>381197</v>
      </c>
      <c r="G27" s="1">
        <v>381197</v>
      </c>
      <c r="H27" s="1">
        <f t="shared" si="11"/>
        <v>400394.15860100003</v>
      </c>
      <c r="I27" s="1">
        <v>383478</v>
      </c>
      <c r="J27" s="1">
        <v>383478</v>
      </c>
      <c r="K27" s="1">
        <f t="shared" si="12"/>
        <v>400394.15860100003</v>
      </c>
      <c r="L27" s="1">
        <v>354644</v>
      </c>
      <c r="M27" s="1">
        <v>354644</v>
      </c>
      <c r="N27" s="1">
        <f t="shared" ref="N27:N36" si="16">F27+I27+L27</f>
        <v>1119319</v>
      </c>
      <c r="O27" s="1">
        <f t="shared" ref="O27:O36" si="17">G27+J27+M27</f>
        <v>1119319</v>
      </c>
      <c r="P27" s="1">
        <f t="shared" ref="P27:P36" si="18">E27+H27+K27</f>
        <v>1201182.4758030002</v>
      </c>
      <c r="Q27" s="1">
        <f t="shared" si="13"/>
        <v>-81863.475803000154</v>
      </c>
      <c r="R27" s="700">
        <f>Q27/P27</f>
        <v>-6.8152406026631182E-2</v>
      </c>
      <c r="S27" s="440">
        <f t="shared" si="14"/>
        <v>4804729.9032120006</v>
      </c>
      <c r="T27" s="570"/>
    </row>
    <row r="28" spans="1:23" x14ac:dyDescent="0.25">
      <c r="A28" s="3" t="s">
        <v>36</v>
      </c>
      <c r="B28" s="13"/>
      <c r="C28" s="431"/>
      <c r="D28" s="688">
        <v>1005899.79260214</v>
      </c>
      <c r="E28" s="1">
        <f t="shared" si="15"/>
        <v>83824.982716844999</v>
      </c>
      <c r="F28" s="1">
        <v>0</v>
      </c>
      <c r="G28" s="1">
        <v>0</v>
      </c>
      <c r="H28" s="1">
        <f t="shared" si="11"/>
        <v>83824.982716844999</v>
      </c>
      <c r="I28" s="1">
        <v>0</v>
      </c>
      <c r="J28" s="1">
        <v>0</v>
      </c>
      <c r="K28" s="1">
        <f t="shared" si="12"/>
        <v>83824.982716844999</v>
      </c>
      <c r="L28" s="1">
        <v>0</v>
      </c>
      <c r="M28" s="1">
        <v>0</v>
      </c>
      <c r="N28" s="1">
        <f t="shared" si="16"/>
        <v>0</v>
      </c>
      <c r="O28" s="1">
        <f t="shared" si="17"/>
        <v>0</v>
      </c>
      <c r="P28" s="1">
        <f t="shared" si="18"/>
        <v>251474.948150535</v>
      </c>
      <c r="Q28" s="1">
        <f t="shared" si="13"/>
        <v>-251474.948150535</v>
      </c>
      <c r="R28" s="700">
        <v>0</v>
      </c>
      <c r="S28" s="440">
        <f t="shared" si="14"/>
        <v>1005899.79260214</v>
      </c>
      <c r="T28" s="570"/>
    </row>
    <row r="29" spans="1:23" x14ac:dyDescent="0.25">
      <c r="A29" s="3" t="s">
        <v>37</v>
      </c>
      <c r="B29" s="13"/>
      <c r="C29" s="431"/>
      <c r="D29" s="688">
        <v>1983741.9520602559</v>
      </c>
      <c r="E29" s="1">
        <f t="shared" si="15"/>
        <v>165311.82933835467</v>
      </c>
      <c r="F29" s="1">
        <v>0</v>
      </c>
      <c r="G29" s="1">
        <v>0</v>
      </c>
      <c r="H29" s="1">
        <f t="shared" si="11"/>
        <v>165311.82933835467</v>
      </c>
      <c r="I29" s="1">
        <v>0</v>
      </c>
      <c r="J29" s="1">
        <v>0</v>
      </c>
      <c r="K29" s="1">
        <f t="shared" si="12"/>
        <v>165311.82933835467</v>
      </c>
      <c r="L29" s="1">
        <v>0</v>
      </c>
      <c r="M29" s="1">
        <v>0</v>
      </c>
      <c r="N29" s="1">
        <f t="shared" si="16"/>
        <v>0</v>
      </c>
      <c r="O29" s="1">
        <f t="shared" si="17"/>
        <v>0</v>
      </c>
      <c r="P29" s="1">
        <f t="shared" si="18"/>
        <v>495935.48801506404</v>
      </c>
      <c r="Q29" s="1">
        <f t="shared" si="13"/>
        <v>-495935.48801506404</v>
      </c>
      <c r="R29" s="700">
        <v>0</v>
      </c>
      <c r="S29" s="440">
        <f t="shared" si="14"/>
        <v>1983741.9520602559</v>
      </c>
      <c r="T29" s="570"/>
    </row>
    <row r="30" spans="1:23" x14ac:dyDescent="0.25">
      <c r="A30" s="3" t="s">
        <v>38</v>
      </c>
      <c r="B30" s="13"/>
      <c r="C30" s="431"/>
      <c r="D30" s="688">
        <v>634347.0000000298</v>
      </c>
      <c r="E30" s="1">
        <f t="shared" si="15"/>
        <v>52862.250000002481</v>
      </c>
      <c r="F30" s="1">
        <v>0</v>
      </c>
      <c r="G30" s="1">
        <v>107147.4</v>
      </c>
      <c r="H30" s="1">
        <f t="shared" si="11"/>
        <v>52862.250000002481</v>
      </c>
      <c r="I30" s="1">
        <v>0</v>
      </c>
      <c r="J30" s="1">
        <v>4228</v>
      </c>
      <c r="K30" s="1">
        <f t="shared" si="12"/>
        <v>52862.250000002481</v>
      </c>
      <c r="L30" s="1">
        <v>0</v>
      </c>
      <c r="M30" s="1">
        <v>105748.47</v>
      </c>
      <c r="N30" s="1">
        <f t="shared" si="16"/>
        <v>0</v>
      </c>
      <c r="O30" s="1">
        <f t="shared" si="17"/>
        <v>217123.87</v>
      </c>
      <c r="P30" s="1">
        <f t="shared" si="18"/>
        <v>158586.75000000745</v>
      </c>
      <c r="Q30" s="1">
        <f t="shared" si="13"/>
        <v>-158586.75000000745</v>
      </c>
      <c r="R30" s="700">
        <f>Q30/P30</f>
        <v>-1</v>
      </c>
      <c r="S30" s="440">
        <f t="shared" si="14"/>
        <v>634347.0000000298</v>
      </c>
      <c r="T30" s="570"/>
      <c r="U30" s="576"/>
    </row>
    <row r="31" spans="1:23" x14ac:dyDescent="0.25">
      <c r="A31" s="3" t="s">
        <v>39</v>
      </c>
      <c r="B31" s="13"/>
      <c r="C31" s="431"/>
      <c r="D31" s="688">
        <v>17124680</v>
      </c>
      <c r="E31" s="1">
        <f t="shared" si="15"/>
        <v>1427056.6666666667</v>
      </c>
      <c r="F31" s="1">
        <v>6071986</v>
      </c>
      <c r="G31" s="1">
        <v>75362.42</v>
      </c>
      <c r="H31" s="1">
        <f t="shared" si="11"/>
        <v>1427056.6666666667</v>
      </c>
      <c r="I31" s="1">
        <v>2869362</v>
      </c>
      <c r="J31" s="1">
        <v>242377</v>
      </c>
      <c r="K31" s="1">
        <f t="shared" si="12"/>
        <v>1427056.6666666667</v>
      </c>
      <c r="L31" s="1">
        <v>63092</v>
      </c>
      <c r="M31" s="1">
        <v>1935317.64</v>
      </c>
      <c r="N31" s="1">
        <f t="shared" si="16"/>
        <v>9004440</v>
      </c>
      <c r="O31" s="1">
        <f t="shared" si="17"/>
        <v>2253057.06</v>
      </c>
      <c r="P31" s="1">
        <f t="shared" si="18"/>
        <v>4281170</v>
      </c>
      <c r="Q31" s="1">
        <f t="shared" si="13"/>
        <v>4723270</v>
      </c>
      <c r="R31" s="700">
        <f>Q31/P31</f>
        <v>1.1032661632217362</v>
      </c>
      <c r="S31" s="440">
        <f t="shared" si="14"/>
        <v>17124680</v>
      </c>
      <c r="T31" s="570"/>
      <c r="U31" s="576"/>
      <c r="V31" s="570"/>
    </row>
    <row r="32" spans="1:23" x14ac:dyDescent="0.25">
      <c r="A32" s="3" t="s">
        <v>40</v>
      </c>
      <c r="B32" s="13"/>
      <c r="C32" s="431"/>
      <c r="D32" s="688">
        <v>0</v>
      </c>
      <c r="E32" s="1">
        <f t="shared" si="15"/>
        <v>0</v>
      </c>
      <c r="F32" s="1">
        <v>0</v>
      </c>
      <c r="G32" s="1">
        <v>13087.58</v>
      </c>
      <c r="H32" s="1">
        <f t="shared" si="11"/>
        <v>0</v>
      </c>
      <c r="I32" s="1">
        <v>0</v>
      </c>
      <c r="J32" s="1">
        <v>0</v>
      </c>
      <c r="K32" s="1">
        <f t="shared" si="12"/>
        <v>0</v>
      </c>
      <c r="L32" s="1">
        <v>0</v>
      </c>
      <c r="M32" s="1">
        <v>121567.79</v>
      </c>
      <c r="N32" s="1">
        <f t="shared" si="16"/>
        <v>0</v>
      </c>
      <c r="O32" s="1">
        <f t="shared" si="17"/>
        <v>134655.37</v>
      </c>
      <c r="P32" s="1">
        <f t="shared" si="18"/>
        <v>0</v>
      </c>
      <c r="Q32" s="1">
        <f t="shared" si="13"/>
        <v>0</v>
      </c>
      <c r="R32" s="700">
        <v>0</v>
      </c>
      <c r="S32" s="440">
        <f t="shared" si="14"/>
        <v>0</v>
      </c>
      <c r="T32" s="570"/>
    </row>
    <row r="33" spans="1:21" x14ac:dyDescent="0.25">
      <c r="A33" s="3" t="s">
        <v>41</v>
      </c>
      <c r="B33" s="13"/>
      <c r="C33" s="431"/>
      <c r="D33" s="688">
        <v>2900000</v>
      </c>
      <c r="E33" s="1">
        <f t="shared" si="15"/>
        <v>241666.66666666666</v>
      </c>
      <c r="F33" s="1">
        <v>128671</v>
      </c>
      <c r="G33" s="1">
        <v>71290.91</v>
      </c>
      <c r="H33" s="1">
        <f t="shared" si="11"/>
        <v>241666.66666666666</v>
      </c>
      <c r="I33" s="1">
        <v>5101</v>
      </c>
      <c r="J33" s="1">
        <v>0</v>
      </c>
      <c r="K33" s="1">
        <f t="shared" si="12"/>
        <v>241666.66666666666</v>
      </c>
      <c r="L33" s="1">
        <v>1144655</v>
      </c>
      <c r="M33" s="1">
        <v>1476760.9</v>
      </c>
      <c r="N33" s="1">
        <f t="shared" si="16"/>
        <v>1278427</v>
      </c>
      <c r="O33" s="1">
        <f t="shared" si="17"/>
        <v>1548051.8099999998</v>
      </c>
      <c r="P33" s="1">
        <f t="shared" si="18"/>
        <v>725000</v>
      </c>
      <c r="Q33" s="1">
        <f t="shared" si="13"/>
        <v>553427</v>
      </c>
      <c r="R33" s="700">
        <f>Q33/P33</f>
        <v>0.76334758620689658</v>
      </c>
      <c r="S33" s="440">
        <f t="shared" si="14"/>
        <v>2900000</v>
      </c>
      <c r="T33" s="570"/>
    </row>
    <row r="34" spans="1:21" x14ac:dyDescent="0.25">
      <c r="A34" s="14" t="s">
        <v>42</v>
      </c>
      <c r="B34" s="13"/>
      <c r="C34" s="431"/>
      <c r="D34" s="688">
        <v>0</v>
      </c>
      <c r="E34" s="1">
        <f t="shared" si="15"/>
        <v>0</v>
      </c>
      <c r="F34" s="1">
        <v>0</v>
      </c>
      <c r="G34" s="1">
        <v>0</v>
      </c>
      <c r="H34" s="1">
        <f t="shared" si="11"/>
        <v>0</v>
      </c>
      <c r="I34" s="1">
        <v>0</v>
      </c>
      <c r="J34" s="1">
        <v>0</v>
      </c>
      <c r="K34" s="1">
        <f t="shared" si="12"/>
        <v>0</v>
      </c>
      <c r="L34" s="1">
        <v>0</v>
      </c>
      <c r="M34" s="1">
        <v>0</v>
      </c>
      <c r="N34" s="1">
        <f t="shared" si="16"/>
        <v>0</v>
      </c>
      <c r="O34" s="1">
        <f t="shared" si="17"/>
        <v>0</v>
      </c>
      <c r="P34" s="1">
        <f t="shared" si="18"/>
        <v>0</v>
      </c>
      <c r="Q34" s="1">
        <f t="shared" si="13"/>
        <v>0</v>
      </c>
      <c r="R34" s="700">
        <v>0</v>
      </c>
      <c r="S34" s="440">
        <f t="shared" si="14"/>
        <v>0</v>
      </c>
      <c r="T34" s="570"/>
    </row>
    <row r="35" spans="1:21" x14ac:dyDescent="0.25">
      <c r="A35" s="3" t="s">
        <v>43</v>
      </c>
      <c r="B35" s="13"/>
      <c r="C35" s="431"/>
      <c r="D35" s="688">
        <v>30310847.001480002</v>
      </c>
      <c r="E35" s="1">
        <f t="shared" si="15"/>
        <v>2525903.9167900002</v>
      </c>
      <c r="F35" s="1">
        <v>6021597</v>
      </c>
      <c r="G35" s="1">
        <f>2512972+102426</f>
        <v>2615398</v>
      </c>
      <c r="H35" s="1">
        <f t="shared" si="11"/>
        <v>2525903.9167900002</v>
      </c>
      <c r="I35" s="1">
        <v>5897649</v>
      </c>
      <c r="J35" s="1">
        <f>396956+1928710</f>
        <v>2325666</v>
      </c>
      <c r="K35" s="1">
        <f t="shared" si="12"/>
        <v>2525903.9167900002</v>
      </c>
      <c r="L35" s="1">
        <v>2577960</v>
      </c>
      <c r="M35" s="1">
        <v>4235661.78</v>
      </c>
      <c r="N35" s="1">
        <f t="shared" si="16"/>
        <v>14497206</v>
      </c>
      <c r="O35" s="1">
        <f t="shared" si="17"/>
        <v>9176725.7800000012</v>
      </c>
      <c r="P35" s="1">
        <f t="shared" si="18"/>
        <v>7577711.7503700005</v>
      </c>
      <c r="Q35" s="1">
        <f t="shared" si="13"/>
        <v>6919494.2496299995</v>
      </c>
      <c r="R35" s="700">
        <f>Q35/P35</f>
        <v>0.91313769612470919</v>
      </c>
      <c r="S35" s="440">
        <f t="shared" si="14"/>
        <v>30310847.001480002</v>
      </c>
      <c r="T35" s="570"/>
    </row>
    <row r="36" spans="1:21" x14ac:dyDescent="0.25">
      <c r="A36" s="3" t="s">
        <v>44</v>
      </c>
      <c r="B36" s="13"/>
      <c r="C36" s="431"/>
      <c r="D36" s="688">
        <v>0</v>
      </c>
      <c r="E36" s="1">
        <f t="shared" si="15"/>
        <v>0</v>
      </c>
      <c r="F36" s="1">
        <v>0</v>
      </c>
      <c r="G36" s="1">
        <v>0</v>
      </c>
      <c r="H36" s="1">
        <f t="shared" si="11"/>
        <v>0</v>
      </c>
      <c r="I36" s="1">
        <v>0</v>
      </c>
      <c r="J36" s="1">
        <v>0</v>
      </c>
      <c r="K36" s="1">
        <f t="shared" si="12"/>
        <v>0</v>
      </c>
      <c r="L36" s="1">
        <v>0</v>
      </c>
      <c r="M36" s="1">
        <v>0</v>
      </c>
      <c r="N36" s="1">
        <f t="shared" si="16"/>
        <v>0</v>
      </c>
      <c r="O36" s="1">
        <f t="shared" si="17"/>
        <v>0</v>
      </c>
      <c r="P36" s="1">
        <f t="shared" si="18"/>
        <v>0</v>
      </c>
      <c r="Q36" s="1">
        <f t="shared" si="13"/>
        <v>0</v>
      </c>
      <c r="R36" s="700">
        <v>0</v>
      </c>
      <c r="S36" s="440">
        <f t="shared" si="14"/>
        <v>0</v>
      </c>
    </row>
    <row r="37" spans="1:21" x14ac:dyDescent="0.25">
      <c r="A37" s="444" t="s">
        <v>45</v>
      </c>
      <c r="B37" s="445"/>
      <c r="C37" s="446">
        <v>0</v>
      </c>
      <c r="D37" s="608">
        <f>SUM(D26:D36)</f>
        <v>125635350.49592641</v>
      </c>
      <c r="E37" s="608">
        <f>SUM(E26:E36)</f>
        <v>10469612.541327203</v>
      </c>
      <c r="F37" s="608">
        <f t="shared" ref="F37:K37" si="19">SUM(F26:F36)</f>
        <v>16836361</v>
      </c>
      <c r="G37" s="608">
        <f t="shared" si="19"/>
        <v>7723431.3100000005</v>
      </c>
      <c r="H37" s="608">
        <f t="shared" si="19"/>
        <v>10469612.541327203</v>
      </c>
      <c r="I37" s="608">
        <f t="shared" si="19"/>
        <v>13546709</v>
      </c>
      <c r="J37" s="608">
        <f t="shared" si="19"/>
        <v>7783180</v>
      </c>
      <c r="K37" s="608">
        <f t="shared" si="19"/>
        <v>10469612.541327203</v>
      </c>
      <c r="L37" s="608">
        <f t="shared" ref="L37:S37" si="20">SUM(L26:L36)</f>
        <v>8922219</v>
      </c>
      <c r="M37" s="608">
        <f t="shared" si="20"/>
        <v>13713703.579999998</v>
      </c>
      <c r="N37" s="608">
        <f t="shared" si="20"/>
        <v>39305289</v>
      </c>
      <c r="O37" s="608">
        <f>SUM(O26:O36)</f>
        <v>29220314.890000001</v>
      </c>
      <c r="P37" s="608">
        <f>SUM(P26:P36)</f>
        <v>31408837.623981599</v>
      </c>
      <c r="Q37" s="608">
        <f t="shared" si="13"/>
        <v>7896451.3760184012</v>
      </c>
      <c r="R37" s="625">
        <f>Q37/P37</f>
        <v>0.2514085834869999</v>
      </c>
      <c r="S37" s="609">
        <f t="shared" si="20"/>
        <v>125635350.49592641</v>
      </c>
      <c r="T37" s="570"/>
      <c r="U37" s="570"/>
    </row>
    <row r="38" spans="1:21" x14ac:dyDescent="0.25">
      <c r="A38" s="437"/>
      <c r="B38" s="13"/>
      <c r="C38" s="438"/>
      <c r="D38" s="439"/>
      <c r="E38" s="538"/>
      <c r="F38" s="538"/>
      <c r="G38" s="539"/>
      <c r="H38" s="538"/>
      <c r="I38" s="538"/>
      <c r="J38" s="1"/>
      <c r="K38" s="1"/>
      <c r="L38" s="1"/>
      <c r="M38" s="1"/>
      <c r="N38" s="1"/>
      <c r="O38" s="1"/>
      <c r="P38" s="1"/>
      <c r="Q38" s="1"/>
      <c r="R38" s="1"/>
      <c r="S38" s="440"/>
    </row>
    <row r="39" spans="1:21" x14ac:dyDescent="0.25">
      <c r="A39" s="447" t="s">
        <v>46</v>
      </c>
      <c r="B39" s="13"/>
      <c r="C39" s="448">
        <v>39223554</v>
      </c>
      <c r="D39" s="596">
        <f>D23-D37</f>
        <v>51129.50407359004</v>
      </c>
      <c r="E39" s="597">
        <f>+E23-E37</f>
        <v>19696594.125339463</v>
      </c>
      <c r="F39" s="597">
        <f>+F23-F37</f>
        <v>409317</v>
      </c>
      <c r="G39" s="597">
        <f t="shared" ref="G39:S39" si="21">+G23-G37</f>
        <v>-4950427.6500000004</v>
      </c>
      <c r="H39" s="597">
        <f t="shared" si="21"/>
        <v>-2972405.8746605357</v>
      </c>
      <c r="I39" s="597">
        <f t="shared" si="21"/>
        <v>-13267393</v>
      </c>
      <c r="J39" s="597">
        <f t="shared" si="21"/>
        <v>-3949518.7600000002</v>
      </c>
      <c r="K39" s="597">
        <f t="shared" si="21"/>
        <v>4260.7920061312616</v>
      </c>
      <c r="L39" s="597">
        <f t="shared" si="21"/>
        <v>13463142</v>
      </c>
      <c r="M39" s="597">
        <f t="shared" si="21"/>
        <v>6762218.4200000018</v>
      </c>
      <c r="N39" s="597">
        <f t="shared" si="21"/>
        <v>605066</v>
      </c>
      <c r="O39" s="597">
        <f t="shared" si="21"/>
        <v>-2137727.9900000021</v>
      </c>
      <c r="P39" s="597">
        <f t="shared" si="21"/>
        <v>16728449.042685073</v>
      </c>
      <c r="Q39" s="597">
        <f t="shared" si="21"/>
        <v>330480.2906482704</v>
      </c>
      <c r="R39" s="587">
        <f>+R23-R37</f>
        <v>-8.0502987506171103E-2</v>
      </c>
      <c r="S39" s="704">
        <f t="shared" si="21"/>
        <v>51129.50407359004</v>
      </c>
    </row>
    <row r="40" spans="1:21" x14ac:dyDescent="0.25">
      <c r="A40" s="3" t="s">
        <v>47</v>
      </c>
      <c r="B40" s="13"/>
      <c r="C40" s="431"/>
      <c r="D40" s="443">
        <v>0</v>
      </c>
      <c r="E40" s="537">
        <v>0</v>
      </c>
      <c r="F40" s="537">
        <v>0</v>
      </c>
      <c r="G40" s="432">
        <v>0</v>
      </c>
      <c r="H40" s="432">
        <v>0</v>
      </c>
      <c r="I40" s="432">
        <v>0</v>
      </c>
      <c r="J40" s="432">
        <v>2462970.91</v>
      </c>
      <c r="K40" s="432">
        <v>0</v>
      </c>
      <c r="L40" s="432">
        <v>0</v>
      </c>
      <c r="M40" s="432">
        <v>0</v>
      </c>
      <c r="N40" s="432">
        <v>0</v>
      </c>
      <c r="O40" s="432">
        <v>0</v>
      </c>
      <c r="P40" s="432">
        <v>0</v>
      </c>
      <c r="Q40" s="1">
        <v>0</v>
      </c>
      <c r="R40" s="4">
        <v>0</v>
      </c>
      <c r="S40" s="433">
        <v>0</v>
      </c>
    </row>
    <row r="41" spans="1:21" x14ac:dyDescent="0.25">
      <c r="A41" s="14" t="s">
        <v>48</v>
      </c>
      <c r="B41" s="13"/>
      <c r="C41" s="431"/>
      <c r="D41" s="443">
        <v>0</v>
      </c>
      <c r="E41" s="537">
        <v>0</v>
      </c>
      <c r="F41" s="537">
        <v>0</v>
      </c>
      <c r="G41" s="432">
        <v>0</v>
      </c>
      <c r="H41" s="432">
        <v>0</v>
      </c>
      <c r="I41" s="432">
        <v>0</v>
      </c>
      <c r="J41" s="432">
        <v>0</v>
      </c>
      <c r="K41" s="432">
        <v>0</v>
      </c>
      <c r="L41" s="432">
        <v>0</v>
      </c>
      <c r="M41" s="432">
        <v>0</v>
      </c>
      <c r="N41" s="432">
        <v>0</v>
      </c>
      <c r="O41" s="432">
        <v>0</v>
      </c>
      <c r="P41" s="432">
        <v>0</v>
      </c>
      <c r="Q41" s="1">
        <v>0</v>
      </c>
      <c r="R41" s="4">
        <v>0</v>
      </c>
      <c r="S41" s="433">
        <v>0</v>
      </c>
    </row>
    <row r="42" spans="1:21" x14ac:dyDescent="0.25">
      <c r="A42" s="3" t="s">
        <v>49</v>
      </c>
      <c r="B42" s="13"/>
      <c r="C42" s="431"/>
      <c r="D42" s="449">
        <v>0</v>
      </c>
      <c r="E42" s="575">
        <v>0</v>
      </c>
      <c r="F42" s="575">
        <v>0</v>
      </c>
      <c r="G42" s="450">
        <v>0</v>
      </c>
      <c r="H42" s="450">
        <v>0</v>
      </c>
      <c r="I42" s="450">
        <v>0</v>
      </c>
      <c r="J42" s="432">
        <v>0</v>
      </c>
      <c r="K42" s="432">
        <v>0</v>
      </c>
      <c r="L42" s="432">
        <v>0</v>
      </c>
      <c r="M42" s="432">
        <v>0</v>
      </c>
      <c r="N42" s="432">
        <v>0</v>
      </c>
      <c r="O42" s="432">
        <v>0</v>
      </c>
      <c r="P42" s="432">
        <v>0</v>
      </c>
      <c r="Q42" s="1">
        <v>0</v>
      </c>
      <c r="R42" s="4">
        <v>0</v>
      </c>
      <c r="S42" s="433">
        <v>0</v>
      </c>
    </row>
    <row r="43" spans="1:21" ht="25.5" x14ac:dyDescent="0.25">
      <c r="A43" s="451" t="s">
        <v>50</v>
      </c>
      <c r="B43" s="452"/>
      <c r="C43" s="453">
        <v>39223554</v>
      </c>
      <c r="D43" s="599">
        <f>D39+SUM(D40:D42)</f>
        <v>51129.50407359004</v>
      </c>
      <c r="E43" s="600">
        <f>SUM(E39:E42)</f>
        <v>19696594.125339463</v>
      </c>
      <c r="F43" s="600">
        <f>SUM(F39:F42)</f>
        <v>409317</v>
      </c>
      <c r="G43" s="600">
        <f t="shared" ref="G43:S43" si="22">SUM(G39:G42)</f>
        <v>-4950427.6500000004</v>
      </c>
      <c r="H43" s="600">
        <f t="shared" si="22"/>
        <v>-2972405.8746605357</v>
      </c>
      <c r="I43" s="600">
        <f t="shared" si="22"/>
        <v>-13267393</v>
      </c>
      <c r="J43" s="600">
        <f t="shared" si="22"/>
        <v>-1486547.85</v>
      </c>
      <c r="K43" s="600">
        <f t="shared" si="22"/>
        <v>4260.7920061312616</v>
      </c>
      <c r="L43" s="600">
        <f t="shared" si="22"/>
        <v>13463142</v>
      </c>
      <c r="M43" s="600">
        <f t="shared" si="22"/>
        <v>6762218.4200000018</v>
      </c>
      <c r="N43" s="600">
        <f t="shared" si="22"/>
        <v>605066</v>
      </c>
      <c r="O43" s="600">
        <f t="shared" si="22"/>
        <v>-2137727.9900000021</v>
      </c>
      <c r="P43" s="600">
        <f t="shared" si="22"/>
        <v>16728449.042685073</v>
      </c>
      <c r="Q43" s="600">
        <f t="shared" si="22"/>
        <v>330480.2906482704</v>
      </c>
      <c r="R43" s="600">
        <f>SUM(R39:R42)</f>
        <v>-8.0502987506171103E-2</v>
      </c>
      <c r="S43" s="705">
        <f t="shared" si="22"/>
        <v>51129.50407359004</v>
      </c>
    </row>
    <row r="44" spans="1:21" x14ac:dyDescent="0.25">
      <c r="A44" s="3" t="s">
        <v>51</v>
      </c>
      <c r="B44" s="13"/>
      <c r="C44" s="431"/>
      <c r="D44" s="449">
        <v>0</v>
      </c>
      <c r="E44" s="575"/>
      <c r="F44" s="575"/>
      <c r="G44" s="450">
        <v>0</v>
      </c>
      <c r="H44" s="450"/>
      <c r="I44" s="450">
        <v>0</v>
      </c>
      <c r="J44" s="432">
        <v>0</v>
      </c>
      <c r="K44" s="432"/>
      <c r="L44" s="432">
        <v>0</v>
      </c>
      <c r="M44" s="432">
        <v>0</v>
      </c>
      <c r="N44" s="432">
        <v>0</v>
      </c>
      <c r="O44" s="432"/>
      <c r="P44" s="432"/>
      <c r="Q44" s="454">
        <v>0</v>
      </c>
      <c r="R44" s="454" t="s">
        <v>16</v>
      </c>
      <c r="S44" s="433">
        <v>0</v>
      </c>
    </row>
    <row r="45" spans="1:21" x14ac:dyDescent="0.25">
      <c r="A45" s="447" t="s">
        <v>52</v>
      </c>
      <c r="B45" s="13"/>
      <c r="C45" s="448">
        <v>39223554</v>
      </c>
      <c r="D45" s="596">
        <f>D43-D44</f>
        <v>51129.50407359004</v>
      </c>
      <c r="E45" s="597">
        <f>SUM(E43:E44)</f>
        <v>19696594.125339463</v>
      </c>
      <c r="F45" s="597">
        <f>SUM(F43:F44)</f>
        <v>409317</v>
      </c>
      <c r="G45" s="597">
        <f t="shared" ref="G45:S45" si="23">SUM(G43:G44)</f>
        <v>-4950427.6500000004</v>
      </c>
      <c r="H45" s="597">
        <f t="shared" si="23"/>
        <v>-2972405.8746605357</v>
      </c>
      <c r="I45" s="597">
        <f t="shared" si="23"/>
        <v>-13267393</v>
      </c>
      <c r="J45" s="597">
        <f t="shared" si="23"/>
        <v>-1486547.85</v>
      </c>
      <c r="K45" s="597">
        <f t="shared" si="23"/>
        <v>4260.7920061312616</v>
      </c>
      <c r="L45" s="597">
        <f t="shared" si="23"/>
        <v>13463142</v>
      </c>
      <c r="M45" s="597">
        <f t="shared" si="23"/>
        <v>6762218.4200000018</v>
      </c>
      <c r="N45" s="597">
        <f t="shared" si="23"/>
        <v>605066</v>
      </c>
      <c r="O45" s="597">
        <f t="shared" si="23"/>
        <v>-2137727.9900000021</v>
      </c>
      <c r="P45" s="597">
        <f t="shared" si="23"/>
        <v>16728449.042685073</v>
      </c>
      <c r="Q45" s="597">
        <f t="shared" si="23"/>
        <v>330480.2906482704</v>
      </c>
      <c r="R45" s="598">
        <f>SUM(R43:R44)</f>
        <v>-8.0502987506171103E-2</v>
      </c>
      <c r="S45" s="704">
        <f t="shared" si="23"/>
        <v>51129.50407359004</v>
      </c>
    </row>
    <row r="46" spans="1:21" x14ac:dyDescent="0.25">
      <c r="A46" s="3" t="s">
        <v>53</v>
      </c>
      <c r="B46" s="13"/>
      <c r="C46" s="431"/>
      <c r="D46" s="443">
        <v>0</v>
      </c>
      <c r="E46" s="537"/>
      <c r="F46" s="537"/>
      <c r="G46" s="432">
        <v>0</v>
      </c>
      <c r="H46" s="432"/>
      <c r="I46" s="432">
        <v>0</v>
      </c>
      <c r="J46" s="432">
        <v>0</v>
      </c>
      <c r="K46" s="432"/>
      <c r="L46" s="432">
        <v>0</v>
      </c>
      <c r="M46" s="432">
        <v>0</v>
      </c>
      <c r="N46" s="432">
        <v>0</v>
      </c>
      <c r="O46" s="432"/>
      <c r="P46" s="432"/>
      <c r="Q46" s="1"/>
      <c r="R46" s="1"/>
      <c r="S46" s="433">
        <v>0</v>
      </c>
    </row>
    <row r="47" spans="1:21" ht="25.5" x14ac:dyDescent="0.25">
      <c r="A47" s="455" t="s">
        <v>54</v>
      </c>
      <c r="B47" s="456"/>
      <c r="C47" s="457">
        <v>39223554</v>
      </c>
      <c r="D47" s="604">
        <f>SUM(D45:D46)</f>
        <v>51129.50407359004</v>
      </c>
      <c r="E47" s="605">
        <f>SUM(E45:E46)</f>
        <v>19696594.125339463</v>
      </c>
      <c r="F47" s="605">
        <f>SUM(F45:F46)</f>
        <v>409317</v>
      </c>
      <c r="G47" s="605">
        <f>SUM(G45:G46)</f>
        <v>-4950427.6500000004</v>
      </c>
      <c r="H47" s="605">
        <f>SUM(H45:H46)</f>
        <v>-2972405.8746605357</v>
      </c>
      <c r="I47" s="605">
        <f t="shared" ref="I47:S47" si="24">SUM(I45:I46)</f>
        <v>-13267393</v>
      </c>
      <c r="J47" s="605">
        <f t="shared" si="24"/>
        <v>-1486547.85</v>
      </c>
      <c r="K47" s="605">
        <f t="shared" si="24"/>
        <v>4260.7920061312616</v>
      </c>
      <c r="L47" s="605">
        <f t="shared" si="24"/>
        <v>13463142</v>
      </c>
      <c r="M47" s="605">
        <f t="shared" si="24"/>
        <v>6762218.4200000018</v>
      </c>
      <c r="N47" s="605">
        <f t="shared" si="24"/>
        <v>605066</v>
      </c>
      <c r="O47" s="605">
        <f t="shared" si="24"/>
        <v>-2137727.9900000021</v>
      </c>
      <c r="P47" s="605">
        <f t="shared" si="24"/>
        <v>16728449.042685073</v>
      </c>
      <c r="Q47" s="605">
        <f t="shared" si="24"/>
        <v>330480.2906482704</v>
      </c>
      <c r="R47" s="606">
        <f>SUM(R45:R46)</f>
        <v>-8.0502987506171103E-2</v>
      </c>
      <c r="S47" s="706">
        <f t="shared" si="24"/>
        <v>51129.50407359004</v>
      </c>
    </row>
    <row r="48" spans="1:21" x14ac:dyDescent="0.25">
      <c r="A48" s="458" t="s">
        <v>55</v>
      </c>
      <c r="B48" s="459"/>
      <c r="C48" s="460"/>
      <c r="D48" s="540">
        <v>0</v>
      </c>
      <c r="E48" s="541"/>
      <c r="F48" s="541"/>
      <c r="G48" s="542">
        <v>0</v>
      </c>
      <c r="H48" s="542"/>
      <c r="I48" s="542">
        <v>0</v>
      </c>
      <c r="J48" s="542">
        <v>0</v>
      </c>
      <c r="K48" s="541"/>
      <c r="L48" s="541">
        <v>0</v>
      </c>
      <c r="M48" s="542">
        <v>0</v>
      </c>
      <c r="N48" s="542">
        <v>0</v>
      </c>
      <c r="O48" s="542"/>
      <c r="P48" s="542"/>
      <c r="Q48" s="543"/>
      <c r="R48" s="543"/>
      <c r="S48" s="544">
        <v>0</v>
      </c>
    </row>
    <row r="49" spans="1:19" x14ac:dyDescent="0.25">
      <c r="A49" s="461" t="s">
        <v>56</v>
      </c>
      <c r="B49" s="424"/>
      <c r="C49" s="462">
        <v>39223554</v>
      </c>
      <c r="D49" s="601">
        <f>D47+D48</f>
        <v>51129.50407359004</v>
      </c>
      <c r="E49" s="601">
        <f>SUM(E47:E48)</f>
        <v>19696594.125339463</v>
      </c>
      <c r="F49" s="601">
        <f>SUM(F47:F48)</f>
        <v>409317</v>
      </c>
      <c r="G49" s="601">
        <f t="shared" ref="G49:S49" si="25">SUM(G47:G48)</f>
        <v>-4950427.6500000004</v>
      </c>
      <c r="H49" s="601">
        <f t="shared" si="25"/>
        <v>-2972405.8746605357</v>
      </c>
      <c r="I49" s="601">
        <f t="shared" si="25"/>
        <v>-13267393</v>
      </c>
      <c r="J49" s="601">
        <f t="shared" si="25"/>
        <v>-1486547.85</v>
      </c>
      <c r="K49" s="601">
        <f t="shared" si="25"/>
        <v>4260.7920061312616</v>
      </c>
      <c r="L49" s="601">
        <f t="shared" si="25"/>
        <v>13463142</v>
      </c>
      <c r="M49" s="601">
        <f t="shared" si="25"/>
        <v>6762218.4200000018</v>
      </c>
      <c r="N49" s="601">
        <f t="shared" si="25"/>
        <v>605066</v>
      </c>
      <c r="O49" s="601">
        <f t="shared" si="25"/>
        <v>-2137727.9900000021</v>
      </c>
      <c r="P49" s="601">
        <f t="shared" si="25"/>
        <v>16728449.042685073</v>
      </c>
      <c r="Q49" s="601">
        <f t="shared" si="25"/>
        <v>330480.2906482704</v>
      </c>
      <c r="R49" s="602">
        <f>SUM(R47:R48)</f>
        <v>-8.0502987506171103E-2</v>
      </c>
      <c r="S49" s="603">
        <f t="shared" si="25"/>
        <v>51129.50407359004</v>
      </c>
    </row>
  </sheetData>
  <mergeCells count="4">
    <mergeCell ref="A2:A3"/>
    <mergeCell ref="B2:B3"/>
    <mergeCell ref="D2:S2"/>
    <mergeCell ref="A1:S1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opLeftCell="A32" zoomScaleNormal="100" workbookViewId="0">
      <selection activeCell="D15" sqref="D15"/>
    </sheetView>
  </sheetViews>
  <sheetFormatPr defaultRowHeight="15" x14ac:dyDescent="0.25"/>
  <cols>
    <col min="1" max="1" width="14" customWidth="1"/>
    <col min="2" max="2" width="14.7109375" customWidth="1"/>
    <col min="3" max="3" width="14.140625" customWidth="1"/>
    <col min="4" max="4" width="14.7109375" bestFit="1" customWidth="1"/>
    <col min="5" max="5" width="14.28515625" customWidth="1"/>
    <col min="6" max="6" width="14.7109375" customWidth="1"/>
    <col min="10" max="10" width="10.7109375" customWidth="1"/>
  </cols>
  <sheetData>
    <row r="1" spans="1:6" x14ac:dyDescent="0.25">
      <c r="C1" s="761" t="s">
        <v>356</v>
      </c>
      <c r="D1" s="761"/>
      <c r="E1" s="761"/>
    </row>
    <row r="2" spans="1:6" ht="25.5" x14ac:dyDescent="0.25">
      <c r="A2" s="5" t="s">
        <v>362</v>
      </c>
      <c r="B2" s="5" t="s">
        <v>363</v>
      </c>
      <c r="C2" s="5" t="s">
        <v>364</v>
      </c>
      <c r="D2" s="5" t="s">
        <v>365</v>
      </c>
      <c r="E2" s="5" t="s">
        <v>366</v>
      </c>
      <c r="F2" s="5" t="s">
        <v>367</v>
      </c>
    </row>
    <row r="3" spans="1:6" x14ac:dyDescent="0.25">
      <c r="A3" s="576">
        <f>'C4 Fin Perf'!$F$23</f>
        <v>17245678</v>
      </c>
      <c r="B3" s="576">
        <f>'C4 Fin Perf'!$G$23</f>
        <v>2773003.6599999997</v>
      </c>
      <c r="C3" s="576">
        <f>'C4 Fin Perf'!$I$23</f>
        <v>279316</v>
      </c>
      <c r="D3" s="576">
        <f>'C4 Fin Perf'!$J$23</f>
        <v>3833661.2399999998</v>
      </c>
      <c r="E3" s="576">
        <v>3669063</v>
      </c>
      <c r="F3" s="576">
        <v>3061534</v>
      </c>
    </row>
    <row r="6" spans="1:6" x14ac:dyDescent="0.25">
      <c r="B6" s="572" t="s">
        <v>357</v>
      </c>
    </row>
    <row r="7" spans="1:6" x14ac:dyDescent="0.25">
      <c r="B7" t="s">
        <v>432</v>
      </c>
      <c r="C7" s="708" t="s">
        <v>379</v>
      </c>
    </row>
    <row r="8" spans="1:6" x14ac:dyDescent="0.25">
      <c r="B8" s="571">
        <v>48137286.666666672</v>
      </c>
      <c r="C8" s="571">
        <v>39910355</v>
      </c>
    </row>
    <row r="9" spans="1:6" x14ac:dyDescent="0.25">
      <c r="E9" s="637"/>
      <c r="F9" s="637"/>
    </row>
    <row r="11" spans="1:6" x14ac:dyDescent="0.25">
      <c r="B11" s="572" t="s">
        <v>358</v>
      </c>
    </row>
    <row r="12" spans="1:6" x14ac:dyDescent="0.25">
      <c r="B12" t="s">
        <v>432</v>
      </c>
      <c r="C12" t="s">
        <v>378</v>
      </c>
    </row>
    <row r="13" spans="1:6" x14ac:dyDescent="0.25">
      <c r="B13" s="571">
        <v>31408837.623981599</v>
      </c>
      <c r="C13" s="571">
        <v>39305289</v>
      </c>
    </row>
    <row r="131" spans="10:10" x14ac:dyDescent="0.25">
      <c r="J131" t="s">
        <v>350</v>
      </c>
    </row>
  </sheetData>
  <mergeCells count="1">
    <mergeCell ref="C1:E1"/>
  </mergeCells>
  <pageMargins left="0.7" right="0.7" top="0.75" bottom="0.75" header="0.3" footer="0.3"/>
  <pageSetup paperSize="9" scale="95" orientation="portrait" r:id="rId1"/>
  <rowBreaks count="2" manualBreakCount="2">
    <brk id="45" max="7" man="1"/>
    <brk id="9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M5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9" sqref="G9"/>
    </sheetView>
  </sheetViews>
  <sheetFormatPr defaultRowHeight="15" x14ac:dyDescent="0.25"/>
  <cols>
    <col min="1" max="1" width="34.7109375" bestFit="1" customWidth="1"/>
    <col min="2" max="2" width="3.140625" bestFit="1" customWidth="1"/>
    <col min="3" max="3" width="6.85546875" bestFit="1" customWidth="1"/>
    <col min="4" max="4" width="6.28515625" customWidth="1"/>
    <col min="5" max="5" width="6.85546875" customWidth="1"/>
    <col min="6" max="6" width="8" customWidth="1"/>
    <col min="7" max="7" width="8.5703125" customWidth="1"/>
    <col min="8" max="9" width="7" bestFit="1" customWidth="1"/>
    <col min="10" max="11" width="6.42578125" bestFit="1" customWidth="1"/>
    <col min="12" max="12" width="6.85546875" bestFit="1" customWidth="1"/>
  </cols>
  <sheetData>
    <row r="1" spans="1:12" x14ac:dyDescent="0.25">
      <c r="A1" s="762" t="s">
        <v>410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</row>
    <row r="2" spans="1:12" x14ac:dyDescent="0.25">
      <c r="A2" s="763" t="s">
        <v>117</v>
      </c>
      <c r="B2" s="765" t="s">
        <v>1</v>
      </c>
      <c r="C2" s="122" t="s">
        <v>370</v>
      </c>
      <c r="D2" s="133" t="s">
        <v>369</v>
      </c>
      <c r="E2" s="129"/>
      <c r="F2" s="129"/>
      <c r="G2" s="418"/>
      <c r="H2" s="129"/>
      <c r="I2" s="129"/>
      <c r="J2" s="129"/>
      <c r="K2" s="129"/>
      <c r="L2" s="130"/>
    </row>
    <row r="3" spans="1:12" ht="25.5" x14ac:dyDescent="0.25">
      <c r="A3" s="764"/>
      <c r="B3" s="766"/>
      <c r="C3" s="124" t="s">
        <v>3</v>
      </c>
      <c r="D3" s="135" t="s">
        <v>4</v>
      </c>
      <c r="E3" s="123" t="s">
        <v>411</v>
      </c>
      <c r="F3" s="123" t="s">
        <v>412</v>
      </c>
      <c r="G3" s="415" t="s">
        <v>413</v>
      </c>
      <c r="H3" s="123" t="s">
        <v>414</v>
      </c>
      <c r="I3" s="123" t="s">
        <v>409</v>
      </c>
      <c r="J3" s="123" t="s">
        <v>9</v>
      </c>
      <c r="K3" s="127" t="s">
        <v>9</v>
      </c>
      <c r="L3" s="125" t="s">
        <v>10</v>
      </c>
    </row>
    <row r="4" spans="1:12" x14ac:dyDescent="0.25">
      <c r="A4" s="120" t="s">
        <v>11</v>
      </c>
      <c r="B4" s="136">
        <v>1</v>
      </c>
      <c r="C4" s="126"/>
      <c r="D4" s="134"/>
      <c r="E4" s="131"/>
      <c r="F4" s="121"/>
      <c r="G4" s="295"/>
      <c r="H4" s="121"/>
      <c r="I4" s="121"/>
      <c r="J4" s="121"/>
      <c r="K4" s="132" t="s">
        <v>12</v>
      </c>
      <c r="L4" s="128"/>
    </row>
    <row r="5" spans="1:12" x14ac:dyDescent="0.25">
      <c r="A5" s="137" t="s">
        <v>130</v>
      </c>
      <c r="B5" s="157">
        <v>2</v>
      </c>
      <c r="C5" s="145"/>
      <c r="D5" s="150"/>
      <c r="E5" s="140"/>
      <c r="F5" s="140"/>
      <c r="G5" s="384"/>
      <c r="H5" s="140"/>
      <c r="I5" s="140"/>
      <c r="J5" s="140"/>
      <c r="K5" s="152"/>
      <c r="L5" s="146"/>
    </row>
    <row r="6" spans="1:12" x14ac:dyDescent="0.25">
      <c r="A6" s="154" t="s">
        <v>118</v>
      </c>
      <c r="B6" s="157"/>
      <c r="C6" s="145">
        <v>0</v>
      </c>
      <c r="D6" s="223">
        <v>0</v>
      </c>
      <c r="E6" s="140">
        <v>0</v>
      </c>
      <c r="F6" s="140">
        <v>0</v>
      </c>
      <c r="G6" s="384">
        <v>0</v>
      </c>
      <c r="H6" s="140">
        <f>SUM(E6:G6)</f>
        <v>0</v>
      </c>
      <c r="I6" s="140">
        <v>0</v>
      </c>
      <c r="J6" s="140">
        <v>0</v>
      </c>
      <c r="K6" s="152" t="s">
        <v>16</v>
      </c>
      <c r="L6" s="146">
        <f>D6</f>
        <v>0</v>
      </c>
    </row>
    <row r="7" spans="1:12" x14ac:dyDescent="0.25">
      <c r="A7" s="154" t="s">
        <v>119</v>
      </c>
      <c r="B7" s="157"/>
      <c r="C7" s="145">
        <v>0</v>
      </c>
      <c r="D7" s="223">
        <v>0</v>
      </c>
      <c r="E7" s="140">
        <v>0</v>
      </c>
      <c r="F7" s="140">
        <v>0</v>
      </c>
      <c r="G7" s="384">
        <v>0</v>
      </c>
      <c r="H7" s="384">
        <f t="shared" ref="H7:H17" si="0">SUM(E7:G7)</f>
        <v>0</v>
      </c>
      <c r="I7" s="384">
        <v>0</v>
      </c>
      <c r="J7" s="140">
        <v>0</v>
      </c>
      <c r="K7" s="152" t="s">
        <v>16</v>
      </c>
      <c r="L7" s="391">
        <f t="shared" ref="L7:L17" si="1">D7</f>
        <v>0</v>
      </c>
    </row>
    <row r="8" spans="1:12" x14ac:dyDescent="0.25">
      <c r="A8" s="154" t="s">
        <v>120</v>
      </c>
      <c r="B8" s="157"/>
      <c r="C8" s="145">
        <v>0</v>
      </c>
      <c r="D8" s="683">
        <v>1004500</v>
      </c>
      <c r="E8" s="140">
        <v>0</v>
      </c>
      <c r="F8" s="140">
        <v>0</v>
      </c>
      <c r="G8" s="384">
        <v>0</v>
      </c>
      <c r="H8" s="384">
        <f t="shared" si="0"/>
        <v>0</v>
      </c>
      <c r="I8" s="384">
        <f>+D8/12*3</f>
        <v>251125</v>
      </c>
      <c r="J8" s="140">
        <f>H8-I8</f>
        <v>-251125</v>
      </c>
      <c r="K8" s="152">
        <v>-1</v>
      </c>
      <c r="L8" s="391">
        <f t="shared" si="1"/>
        <v>1004500</v>
      </c>
    </row>
    <row r="9" spans="1:12" x14ac:dyDescent="0.25">
      <c r="A9" s="154" t="s">
        <v>121</v>
      </c>
      <c r="B9" s="157"/>
      <c r="C9" s="145">
        <v>0</v>
      </c>
      <c r="D9" s="223">
        <v>0</v>
      </c>
      <c r="E9" s="140">
        <v>0</v>
      </c>
      <c r="F9" s="140">
        <v>0</v>
      </c>
      <c r="G9" s="384">
        <v>0</v>
      </c>
      <c r="H9" s="384">
        <f t="shared" si="0"/>
        <v>0</v>
      </c>
      <c r="I9" s="384">
        <f t="shared" ref="I9:I17" si="2">+D9/12*3</f>
        <v>0</v>
      </c>
      <c r="J9" s="384">
        <f t="shared" ref="J9:J17" si="3">H9-I9</f>
        <v>0</v>
      </c>
      <c r="K9" s="152" t="s">
        <v>16</v>
      </c>
      <c r="L9" s="391">
        <f t="shared" si="1"/>
        <v>0</v>
      </c>
    </row>
    <row r="10" spans="1:12" x14ac:dyDescent="0.25">
      <c r="A10" s="154" t="s">
        <v>122</v>
      </c>
      <c r="B10" s="157"/>
      <c r="C10" s="145">
        <v>0</v>
      </c>
      <c r="D10" s="223">
        <v>0</v>
      </c>
      <c r="E10" s="140">
        <v>0</v>
      </c>
      <c r="F10" s="140">
        <v>0</v>
      </c>
      <c r="G10" s="384">
        <v>0</v>
      </c>
      <c r="H10" s="384">
        <f t="shared" si="0"/>
        <v>0</v>
      </c>
      <c r="I10" s="384">
        <f t="shared" si="2"/>
        <v>0</v>
      </c>
      <c r="J10" s="384">
        <f t="shared" si="3"/>
        <v>0</v>
      </c>
      <c r="K10" s="152" t="s">
        <v>16</v>
      </c>
      <c r="L10" s="391">
        <f t="shared" si="1"/>
        <v>0</v>
      </c>
    </row>
    <row r="11" spans="1:12" x14ac:dyDescent="0.25">
      <c r="A11" s="154" t="s">
        <v>123</v>
      </c>
      <c r="B11" s="157"/>
      <c r="C11" s="145">
        <v>0</v>
      </c>
      <c r="D11" s="223">
        <v>0</v>
      </c>
      <c r="E11" s="140">
        <v>0</v>
      </c>
      <c r="F11" s="140">
        <v>0</v>
      </c>
      <c r="G11" s="384">
        <v>0</v>
      </c>
      <c r="H11" s="384">
        <f t="shared" si="0"/>
        <v>0</v>
      </c>
      <c r="I11" s="384">
        <f t="shared" si="2"/>
        <v>0</v>
      </c>
      <c r="J11" s="384">
        <f t="shared" si="3"/>
        <v>0</v>
      </c>
      <c r="K11" s="152" t="s">
        <v>16</v>
      </c>
      <c r="L11" s="391">
        <f t="shared" si="1"/>
        <v>0</v>
      </c>
    </row>
    <row r="12" spans="1:12" x14ac:dyDescent="0.25">
      <c r="A12" s="154" t="s">
        <v>124</v>
      </c>
      <c r="B12" s="157"/>
      <c r="C12" s="145">
        <v>0</v>
      </c>
      <c r="D12" s="683">
        <v>2420854</v>
      </c>
      <c r="E12" s="140">
        <v>0</v>
      </c>
      <c r="F12" s="140">
        <v>693767</v>
      </c>
      <c r="G12" s="384">
        <v>827159</v>
      </c>
      <c r="H12" s="384">
        <f t="shared" si="0"/>
        <v>1520926</v>
      </c>
      <c r="I12" s="384">
        <f t="shared" si="2"/>
        <v>605213.5</v>
      </c>
      <c r="J12" s="384">
        <f t="shared" si="3"/>
        <v>915712.5</v>
      </c>
      <c r="K12" s="152">
        <v>-1</v>
      </c>
      <c r="L12" s="391">
        <f t="shared" si="1"/>
        <v>2420854</v>
      </c>
    </row>
    <row r="13" spans="1:12" x14ac:dyDescent="0.25">
      <c r="A13" s="154" t="s">
        <v>125</v>
      </c>
      <c r="B13" s="157"/>
      <c r="C13" s="145">
        <v>0</v>
      </c>
      <c r="D13" s="223">
        <v>0</v>
      </c>
      <c r="E13" s="140">
        <v>0</v>
      </c>
      <c r="F13" s="140">
        <v>0</v>
      </c>
      <c r="G13" s="384">
        <v>0</v>
      </c>
      <c r="H13" s="384">
        <f t="shared" si="0"/>
        <v>0</v>
      </c>
      <c r="I13" s="384">
        <f t="shared" si="2"/>
        <v>0</v>
      </c>
      <c r="J13" s="384">
        <f t="shared" si="3"/>
        <v>0</v>
      </c>
      <c r="K13" s="152" t="s">
        <v>16</v>
      </c>
      <c r="L13" s="391">
        <f t="shared" si="1"/>
        <v>0</v>
      </c>
    </row>
    <row r="14" spans="1:12" x14ac:dyDescent="0.25">
      <c r="A14" s="154" t="s">
        <v>126</v>
      </c>
      <c r="B14" s="157"/>
      <c r="C14" s="145">
        <v>0</v>
      </c>
      <c r="D14" s="223">
        <v>0</v>
      </c>
      <c r="E14" s="140">
        <v>0</v>
      </c>
      <c r="F14" s="140">
        <v>0</v>
      </c>
      <c r="G14" s="384">
        <v>0</v>
      </c>
      <c r="H14" s="384">
        <f t="shared" si="0"/>
        <v>0</v>
      </c>
      <c r="I14" s="384">
        <f t="shared" si="2"/>
        <v>0</v>
      </c>
      <c r="J14" s="384">
        <f t="shared" si="3"/>
        <v>0</v>
      </c>
      <c r="K14" s="152">
        <v>-1</v>
      </c>
      <c r="L14" s="391">
        <f t="shared" si="1"/>
        <v>0</v>
      </c>
    </row>
    <row r="15" spans="1:12" x14ac:dyDescent="0.25">
      <c r="A15" s="154" t="s">
        <v>127</v>
      </c>
      <c r="B15" s="157"/>
      <c r="C15" s="145">
        <v>0</v>
      </c>
      <c r="D15" s="683">
        <v>4291050</v>
      </c>
      <c r="E15" s="140">
        <v>0</v>
      </c>
      <c r="F15" s="140">
        <v>0</v>
      </c>
      <c r="G15" s="384">
        <v>0</v>
      </c>
      <c r="H15" s="384">
        <f t="shared" si="0"/>
        <v>0</v>
      </c>
      <c r="I15" s="384">
        <f t="shared" si="2"/>
        <v>1072762.5</v>
      </c>
      <c r="J15" s="384">
        <f t="shared" si="3"/>
        <v>-1072762.5</v>
      </c>
      <c r="K15" s="152">
        <v>-0.37420217790252069</v>
      </c>
      <c r="L15" s="391">
        <f t="shared" si="1"/>
        <v>4291050</v>
      </c>
    </row>
    <row r="16" spans="1:12" x14ac:dyDescent="0.25">
      <c r="A16" s="154" t="s">
        <v>128</v>
      </c>
      <c r="B16" s="157"/>
      <c r="C16" s="145">
        <v>0</v>
      </c>
      <c r="D16" s="683">
        <v>39063573</v>
      </c>
      <c r="E16" s="140">
        <v>0</v>
      </c>
      <c r="F16" s="140">
        <v>1234942</v>
      </c>
      <c r="G16" s="384">
        <v>5453416</v>
      </c>
      <c r="H16" s="384">
        <f t="shared" si="0"/>
        <v>6688358</v>
      </c>
      <c r="I16" s="384">
        <f t="shared" si="2"/>
        <v>9765893.25</v>
      </c>
      <c r="J16" s="384">
        <f t="shared" si="3"/>
        <v>-3077535.25</v>
      </c>
      <c r="K16" s="152">
        <v>-0.21710755803231288</v>
      </c>
      <c r="L16" s="391">
        <f t="shared" si="1"/>
        <v>39063573</v>
      </c>
    </row>
    <row r="17" spans="1:13" x14ac:dyDescent="0.25">
      <c r="A17" s="154" t="s">
        <v>129</v>
      </c>
      <c r="B17" s="157"/>
      <c r="C17" s="145">
        <v>0</v>
      </c>
      <c r="D17" s="683">
        <v>750000</v>
      </c>
      <c r="E17" s="140">
        <v>0</v>
      </c>
      <c r="F17" s="140">
        <v>0</v>
      </c>
      <c r="G17" s="384">
        <v>0</v>
      </c>
      <c r="H17" s="384">
        <f t="shared" si="0"/>
        <v>0</v>
      </c>
      <c r="I17" s="384">
        <f t="shared" si="2"/>
        <v>187500</v>
      </c>
      <c r="J17" s="384">
        <f t="shared" si="3"/>
        <v>-187500</v>
      </c>
      <c r="K17" s="152">
        <v>-1</v>
      </c>
      <c r="L17" s="391">
        <f t="shared" si="1"/>
        <v>750000</v>
      </c>
    </row>
    <row r="18" spans="1:13" x14ac:dyDescent="0.25">
      <c r="A18" s="151" t="s">
        <v>131</v>
      </c>
      <c r="B18" s="34">
        <v>4</v>
      </c>
      <c r="C18" s="16">
        <v>0</v>
      </c>
      <c r="D18" s="610">
        <f>SUM(D6:D17)</f>
        <v>47529977</v>
      </c>
      <c r="E18" s="610">
        <f t="shared" ref="E18:L18" si="4">SUM(E6:E17)</f>
        <v>0</v>
      </c>
      <c r="F18" s="610">
        <f t="shared" si="4"/>
        <v>1928709</v>
      </c>
      <c r="G18" s="610">
        <f t="shared" si="4"/>
        <v>6280575</v>
      </c>
      <c r="H18" s="610">
        <f>SUM(H6:H17)</f>
        <v>8209284</v>
      </c>
      <c r="I18" s="610">
        <f t="shared" si="4"/>
        <v>11882494.25</v>
      </c>
      <c r="J18" s="610">
        <f t="shared" si="4"/>
        <v>-3673210.25</v>
      </c>
      <c r="K18" s="610">
        <f t="shared" si="4"/>
        <v>-4.5913097359348338</v>
      </c>
      <c r="L18" s="611">
        <f t="shared" si="4"/>
        <v>47529977</v>
      </c>
      <c r="M18" s="545"/>
    </row>
    <row r="19" spans="1:13" x14ac:dyDescent="0.25">
      <c r="A19" s="151" t="s">
        <v>132</v>
      </c>
      <c r="B19" s="17"/>
      <c r="C19" s="117">
        <v>0</v>
      </c>
      <c r="D19" s="610">
        <f>+D18</f>
        <v>47529977</v>
      </c>
      <c r="E19" s="610">
        <f t="shared" ref="E19:L19" si="5">+E18</f>
        <v>0</v>
      </c>
      <c r="F19" s="610">
        <f>+F18</f>
        <v>1928709</v>
      </c>
      <c r="G19" s="610">
        <f t="shared" si="5"/>
        <v>6280575</v>
      </c>
      <c r="H19" s="610">
        <f t="shared" si="5"/>
        <v>8209284</v>
      </c>
      <c r="I19" s="610">
        <f t="shared" si="5"/>
        <v>11882494.25</v>
      </c>
      <c r="J19" s="610">
        <f t="shared" si="5"/>
        <v>-3673210.25</v>
      </c>
      <c r="K19" s="610">
        <f t="shared" si="5"/>
        <v>-4.5913097359348338</v>
      </c>
      <c r="L19" s="611">
        <f t="shared" si="5"/>
        <v>47529977</v>
      </c>
    </row>
    <row r="20" spans="1:13" x14ac:dyDescent="0.25">
      <c r="A20" s="139"/>
      <c r="B20" s="157"/>
      <c r="C20" s="145"/>
      <c r="D20" s="150"/>
      <c r="E20" s="140"/>
      <c r="F20" s="140">
        <v>0</v>
      </c>
      <c r="G20" s="384"/>
      <c r="H20" s="140"/>
      <c r="I20" s="140"/>
      <c r="J20" s="140"/>
      <c r="K20" s="152"/>
      <c r="L20" s="146"/>
    </row>
    <row r="21" spans="1:13" x14ac:dyDescent="0.25">
      <c r="A21" s="137" t="s">
        <v>133</v>
      </c>
      <c r="B21" s="157"/>
      <c r="C21" s="145"/>
      <c r="D21" s="150"/>
      <c r="E21" s="140"/>
      <c r="F21" s="140"/>
      <c r="G21" s="384"/>
      <c r="H21" s="140"/>
      <c r="I21" s="140"/>
      <c r="J21" s="140"/>
      <c r="K21" s="152"/>
      <c r="L21" s="146"/>
    </row>
    <row r="22" spans="1:13" x14ac:dyDescent="0.25">
      <c r="A22" s="155" t="s">
        <v>97</v>
      </c>
      <c r="B22" s="158"/>
      <c r="C22" s="548">
        <f>SUM(C23:C25)</f>
        <v>0</v>
      </c>
      <c r="D22" s="547">
        <v>0</v>
      </c>
      <c r="E22" s="166">
        <v>0</v>
      </c>
      <c r="F22" s="166">
        <f t="shared" ref="F22:L22" si="6">SUM(F23:F25)</f>
        <v>0</v>
      </c>
      <c r="G22" s="166">
        <f t="shared" si="6"/>
        <v>0</v>
      </c>
      <c r="H22" s="166">
        <f t="shared" si="6"/>
        <v>0</v>
      </c>
      <c r="I22" s="166">
        <f t="shared" si="6"/>
        <v>0</v>
      </c>
      <c r="J22" s="166">
        <f t="shared" si="6"/>
        <v>0</v>
      </c>
      <c r="K22" s="166">
        <f t="shared" si="6"/>
        <v>0</v>
      </c>
      <c r="L22" s="548">
        <f t="shared" si="6"/>
        <v>0</v>
      </c>
      <c r="M22" s="545"/>
    </row>
    <row r="23" spans="1:13" x14ac:dyDescent="0.25">
      <c r="A23" s="156" t="s">
        <v>98</v>
      </c>
      <c r="B23" s="157"/>
      <c r="C23" s="164">
        <v>0</v>
      </c>
      <c r="D23" s="162">
        <v>0</v>
      </c>
      <c r="E23" s="163">
        <v>0</v>
      </c>
      <c r="F23" s="163">
        <v>0</v>
      </c>
      <c r="G23" s="422">
        <v>0</v>
      </c>
      <c r="H23" s="384">
        <f>SUM(E23:G23)</f>
        <v>0</v>
      </c>
      <c r="I23" s="384">
        <f>+D23*0.5</f>
        <v>0</v>
      </c>
      <c r="J23" s="141">
        <v>0</v>
      </c>
      <c r="K23" s="148"/>
      <c r="L23" s="164">
        <f t="shared" ref="L23:L25" si="7">D23</f>
        <v>0</v>
      </c>
    </row>
    <row r="24" spans="1:13" x14ac:dyDescent="0.25">
      <c r="A24" s="156" t="s">
        <v>99</v>
      </c>
      <c r="B24" s="157"/>
      <c r="C24" s="29"/>
      <c r="D24" s="26">
        <v>0</v>
      </c>
      <c r="E24" s="116">
        <v>0</v>
      </c>
      <c r="F24" s="116">
        <v>0</v>
      </c>
      <c r="G24" s="116">
        <v>0</v>
      </c>
      <c r="H24" s="384">
        <f>SUM(E24:G24)</f>
        <v>0</v>
      </c>
      <c r="I24" s="384">
        <f>+D24*0.5</f>
        <v>0</v>
      </c>
      <c r="J24" s="141">
        <v>0</v>
      </c>
      <c r="K24" s="148"/>
      <c r="L24" s="164">
        <f t="shared" si="7"/>
        <v>0</v>
      </c>
    </row>
    <row r="25" spans="1:13" x14ac:dyDescent="0.25">
      <c r="A25" s="156" t="s">
        <v>100</v>
      </c>
      <c r="B25" s="157"/>
      <c r="C25" s="164"/>
      <c r="D25" s="162">
        <v>0</v>
      </c>
      <c r="E25" s="163">
        <v>0</v>
      </c>
      <c r="F25" s="163">
        <v>0</v>
      </c>
      <c r="G25" s="422">
        <v>0</v>
      </c>
      <c r="H25" s="384">
        <f>SUM(E25:G25)</f>
        <v>0</v>
      </c>
      <c r="I25" s="384">
        <f>+D25*0.5</f>
        <v>0</v>
      </c>
      <c r="J25" s="141">
        <v>0</v>
      </c>
      <c r="K25" s="148" t="s">
        <v>16</v>
      </c>
      <c r="L25" s="164">
        <f t="shared" si="7"/>
        <v>0</v>
      </c>
    </row>
    <row r="26" spans="1:13" x14ac:dyDescent="0.25">
      <c r="A26" s="155" t="s">
        <v>101</v>
      </c>
      <c r="B26" s="157"/>
      <c r="C26" s="548">
        <f t="shared" ref="C26:I26" si="8">SUM(C27:C31)</f>
        <v>0</v>
      </c>
      <c r="D26" s="583">
        <f t="shared" si="8"/>
        <v>2420854</v>
      </c>
      <c r="E26" s="583">
        <f t="shared" si="8"/>
        <v>0</v>
      </c>
      <c r="F26" s="583">
        <f t="shared" si="8"/>
        <v>693767</v>
      </c>
      <c r="G26" s="583">
        <f t="shared" si="8"/>
        <v>827159</v>
      </c>
      <c r="H26" s="584">
        <f t="shared" si="8"/>
        <v>1520926</v>
      </c>
      <c r="I26" s="584">
        <f t="shared" si="8"/>
        <v>605213.5</v>
      </c>
      <c r="J26" s="584">
        <f>H26-I26</f>
        <v>915712.5</v>
      </c>
      <c r="K26" s="585">
        <f>IF(J26=0,"",J26/I26)</f>
        <v>1.5130404394482277</v>
      </c>
      <c r="L26" s="586">
        <f t="shared" ref="L26" si="9">SUM(L27:L31)</f>
        <v>2420854</v>
      </c>
      <c r="M26" s="545"/>
    </row>
    <row r="27" spans="1:13" x14ac:dyDescent="0.25">
      <c r="A27" s="156" t="s">
        <v>102</v>
      </c>
      <c r="B27" s="157"/>
      <c r="C27" s="164"/>
      <c r="D27" s="162">
        <v>0</v>
      </c>
      <c r="E27" s="163">
        <v>0</v>
      </c>
      <c r="F27" s="163">
        <v>0</v>
      </c>
      <c r="G27" s="422">
        <v>0</v>
      </c>
      <c r="H27" s="384">
        <f>SUM(E27:G27)</f>
        <v>0</v>
      </c>
      <c r="I27" s="384">
        <f>+D27*0.5</f>
        <v>0</v>
      </c>
      <c r="J27" s="141">
        <v>0</v>
      </c>
      <c r="K27" s="148" t="s">
        <v>16</v>
      </c>
      <c r="L27" s="164">
        <f t="shared" ref="L27:L52" si="10">D27</f>
        <v>0</v>
      </c>
    </row>
    <row r="28" spans="1:13" x14ac:dyDescent="0.25">
      <c r="A28" s="156" t="s">
        <v>103</v>
      </c>
      <c r="B28" s="157"/>
      <c r="C28" s="164"/>
      <c r="D28" s="683">
        <v>2420854</v>
      </c>
      <c r="E28" s="384">
        <v>0</v>
      </c>
      <c r="F28" s="163">
        <v>693767</v>
      </c>
      <c r="G28" s="422">
        <v>827159</v>
      </c>
      <c r="H28" s="384">
        <f>SUM(E28:G28)</f>
        <v>1520926</v>
      </c>
      <c r="I28" s="384">
        <f>+D28/12*3</f>
        <v>605213.5</v>
      </c>
      <c r="J28" s="141">
        <f>H28-I28</f>
        <v>915712.5</v>
      </c>
      <c r="K28" s="148">
        <v>3.5714481039700909</v>
      </c>
      <c r="L28" s="369">
        <f t="shared" si="10"/>
        <v>2420854</v>
      </c>
    </row>
    <row r="29" spans="1:13" x14ac:dyDescent="0.25">
      <c r="A29" s="156" t="s">
        <v>104</v>
      </c>
      <c r="B29" s="157"/>
      <c r="C29" s="164"/>
      <c r="D29" s="162">
        <v>0</v>
      </c>
      <c r="E29" s="163">
        <v>0</v>
      </c>
      <c r="F29" s="163">
        <v>0</v>
      </c>
      <c r="G29" s="422">
        <v>0</v>
      </c>
      <c r="H29" s="384">
        <f>SUM(E29:G29)</f>
        <v>0</v>
      </c>
      <c r="I29" s="384">
        <f>+D29*9/12</f>
        <v>0</v>
      </c>
      <c r="J29" s="141">
        <v>0</v>
      </c>
      <c r="K29" s="148" t="s">
        <v>16</v>
      </c>
      <c r="L29" s="369">
        <f t="shared" si="10"/>
        <v>0</v>
      </c>
    </row>
    <row r="30" spans="1:13" x14ac:dyDescent="0.25">
      <c r="A30" s="156" t="s">
        <v>105</v>
      </c>
      <c r="B30" s="157"/>
      <c r="C30" s="164"/>
      <c r="D30" s="162">
        <v>0</v>
      </c>
      <c r="E30" s="163">
        <v>0</v>
      </c>
      <c r="F30" s="163">
        <v>0</v>
      </c>
      <c r="G30" s="422">
        <v>0</v>
      </c>
      <c r="H30" s="384">
        <f>SUM(E30:G30)</f>
        <v>0</v>
      </c>
      <c r="I30" s="384">
        <f>+D30*9/12</f>
        <v>0</v>
      </c>
      <c r="J30" s="141">
        <v>0</v>
      </c>
      <c r="K30" s="148" t="s">
        <v>16</v>
      </c>
      <c r="L30" s="369">
        <f t="shared" si="10"/>
        <v>0</v>
      </c>
    </row>
    <row r="31" spans="1:13" x14ac:dyDescent="0.25">
      <c r="A31" s="156" t="s">
        <v>106</v>
      </c>
      <c r="B31" s="157"/>
      <c r="C31" s="29"/>
      <c r="D31" s="26">
        <v>0</v>
      </c>
      <c r="E31" s="116">
        <v>0</v>
      </c>
      <c r="F31" s="116">
        <v>0</v>
      </c>
      <c r="G31" s="116">
        <v>0</v>
      </c>
      <c r="H31" s="384">
        <f>SUM(E31:G31)</f>
        <v>0</v>
      </c>
      <c r="I31" s="384">
        <f>+D31*9/12</f>
        <v>0</v>
      </c>
      <c r="J31" s="141">
        <v>0</v>
      </c>
      <c r="K31" s="148" t="s">
        <v>16</v>
      </c>
      <c r="L31" s="369">
        <f t="shared" si="10"/>
        <v>0</v>
      </c>
    </row>
    <row r="32" spans="1:13" x14ac:dyDescent="0.25">
      <c r="A32" s="155" t="s">
        <v>107</v>
      </c>
      <c r="B32" s="157"/>
      <c r="C32" s="548">
        <f t="shared" ref="C32:I32" si="11">SUM(C33:C35)</f>
        <v>0</v>
      </c>
      <c r="D32" s="583">
        <f t="shared" si="11"/>
        <v>5295550</v>
      </c>
      <c r="E32" s="583">
        <f t="shared" si="11"/>
        <v>0</v>
      </c>
      <c r="F32" s="584">
        <f t="shared" si="11"/>
        <v>0</v>
      </c>
      <c r="G32" s="584">
        <f t="shared" si="11"/>
        <v>0</v>
      </c>
      <c r="H32" s="584">
        <f t="shared" si="11"/>
        <v>0</v>
      </c>
      <c r="I32" s="584">
        <f t="shared" si="11"/>
        <v>1323887.5</v>
      </c>
      <c r="J32" s="584">
        <f>H32-I32</f>
        <v>-1323887.5</v>
      </c>
      <c r="K32" s="585">
        <f>IF(J32=0,"",J32/I32)</f>
        <v>-1</v>
      </c>
      <c r="L32" s="586">
        <f>SUM(L33:L35)</f>
        <v>5295550</v>
      </c>
      <c r="M32" s="545"/>
    </row>
    <row r="33" spans="1:12" x14ac:dyDescent="0.25">
      <c r="A33" s="156" t="s">
        <v>108</v>
      </c>
      <c r="B33" s="157"/>
      <c r="C33" s="164"/>
      <c r="D33" s="683">
        <v>1004500</v>
      </c>
      <c r="E33" s="384">
        <v>0</v>
      </c>
      <c r="F33" s="163">
        <v>0</v>
      </c>
      <c r="G33" s="422">
        <v>0</v>
      </c>
      <c r="H33" s="384">
        <f>SUM(E33:G33)</f>
        <v>0</v>
      </c>
      <c r="I33" s="384">
        <f t="shared" ref="I33:I34" si="12">+D33/12*3</f>
        <v>251125</v>
      </c>
      <c r="J33" s="141">
        <f>H33-I33</f>
        <v>-251125</v>
      </c>
      <c r="K33" s="148" t="s">
        <v>16</v>
      </c>
      <c r="L33" s="164">
        <f t="shared" si="10"/>
        <v>1004500</v>
      </c>
    </row>
    <row r="34" spans="1:12" x14ac:dyDescent="0.25">
      <c r="A34" s="156" t="s">
        <v>109</v>
      </c>
      <c r="B34" s="157"/>
      <c r="C34" s="164"/>
      <c r="D34" s="683">
        <v>4291050</v>
      </c>
      <c r="E34" s="163">
        <v>0</v>
      </c>
      <c r="F34" s="163">
        <v>0</v>
      </c>
      <c r="G34" s="422">
        <v>0</v>
      </c>
      <c r="H34" s="384">
        <f>SUM(E34:G34)</f>
        <v>0</v>
      </c>
      <c r="I34" s="384">
        <f t="shared" si="12"/>
        <v>1072762.5</v>
      </c>
      <c r="J34" s="141">
        <f>H34-I34</f>
        <v>-1072762.5</v>
      </c>
      <c r="K34" s="148">
        <v>0.40397499999999997</v>
      </c>
      <c r="L34" s="164">
        <f t="shared" si="10"/>
        <v>4291050</v>
      </c>
    </row>
    <row r="35" spans="1:12" x14ac:dyDescent="0.25">
      <c r="A35" s="156" t="s">
        <v>110</v>
      </c>
      <c r="B35" s="157"/>
      <c r="C35" s="164"/>
      <c r="D35" s="162">
        <v>0</v>
      </c>
      <c r="E35" s="163">
        <v>0</v>
      </c>
      <c r="F35" s="163">
        <v>0</v>
      </c>
      <c r="G35" s="422">
        <v>0</v>
      </c>
      <c r="H35" s="384">
        <f>SUM(E35:G35)</f>
        <v>0</v>
      </c>
      <c r="I35" s="384">
        <f>+D35*9/12</f>
        <v>0</v>
      </c>
      <c r="J35" s="141">
        <v>0</v>
      </c>
      <c r="K35" s="148" t="s">
        <v>16</v>
      </c>
      <c r="L35" s="164">
        <f t="shared" si="10"/>
        <v>0</v>
      </c>
    </row>
    <row r="36" spans="1:12" x14ac:dyDescent="0.25">
      <c r="A36" s="155" t="s">
        <v>111</v>
      </c>
      <c r="B36" s="157"/>
      <c r="C36" s="548">
        <f>SUM(C37:C40)</f>
        <v>0</v>
      </c>
      <c r="D36" s="583">
        <f>SUM(D37:D40)</f>
        <v>39813573</v>
      </c>
      <c r="E36" s="584">
        <f t="shared" ref="E36:L36" si="13">SUM(E37:E40)</f>
        <v>0</v>
      </c>
      <c r="F36" s="584">
        <f>SUM(F37:F41)</f>
        <v>1234942</v>
      </c>
      <c r="G36" s="584">
        <f>SUM(G37:G41)</f>
        <v>5453416</v>
      </c>
      <c r="H36" s="584">
        <f t="shared" si="13"/>
        <v>6688358</v>
      </c>
      <c r="I36" s="584">
        <f t="shared" si="13"/>
        <v>9953393.25</v>
      </c>
      <c r="J36" s="584">
        <f t="shared" si="13"/>
        <v>-3265035.25</v>
      </c>
      <c r="K36" s="587">
        <f>IF(J36=0,"",J36/I36)</f>
        <v>-0.32803237730007301</v>
      </c>
      <c r="L36" s="588">
        <f t="shared" si="13"/>
        <v>39813573</v>
      </c>
    </row>
    <row r="37" spans="1:12" x14ac:dyDescent="0.25">
      <c r="A37" s="156" t="s">
        <v>112</v>
      </c>
      <c r="B37" s="157"/>
      <c r="C37" s="164"/>
      <c r="D37" s="683">
        <v>750000</v>
      </c>
      <c r="E37" s="163">
        <v>0</v>
      </c>
      <c r="F37" s="163">
        <v>0</v>
      </c>
      <c r="G37" s="422">
        <v>0</v>
      </c>
      <c r="H37" s="384">
        <f>SUM(E37:G37)</f>
        <v>0</v>
      </c>
      <c r="I37" s="384">
        <f t="shared" ref="I37:I38" si="14">+D37/12*3</f>
        <v>187500</v>
      </c>
      <c r="J37" s="141">
        <f>H37-I37</f>
        <v>-187500</v>
      </c>
      <c r="K37" s="148">
        <f>IF(J37=0,"",J37/I37)</f>
        <v>-1</v>
      </c>
      <c r="L37" s="164">
        <f t="shared" si="10"/>
        <v>750000</v>
      </c>
    </row>
    <row r="38" spans="1:12" x14ac:dyDescent="0.25">
      <c r="A38" s="156" t="s">
        <v>113</v>
      </c>
      <c r="B38" s="157"/>
      <c r="C38" s="164"/>
      <c r="D38" s="683">
        <v>39063573</v>
      </c>
      <c r="E38" s="163">
        <v>0</v>
      </c>
      <c r="F38" s="163">
        <v>1234942</v>
      </c>
      <c r="G38" s="422">
        <v>5453416</v>
      </c>
      <c r="H38" s="384">
        <f>SUM(E38:G38)</f>
        <v>6688358</v>
      </c>
      <c r="I38" s="384">
        <f t="shared" si="14"/>
        <v>9765893.25</v>
      </c>
      <c r="J38" s="141">
        <f>H38-I38</f>
        <v>-3077535.25</v>
      </c>
      <c r="K38" s="148">
        <f>IF(J38=0,"",J38/I38)</f>
        <v>-0.31513095333086916</v>
      </c>
      <c r="L38" s="164">
        <f t="shared" si="10"/>
        <v>39063573</v>
      </c>
    </row>
    <row r="39" spans="1:12" x14ac:dyDescent="0.25">
      <c r="A39" s="156" t="s">
        <v>114</v>
      </c>
      <c r="B39" s="157"/>
      <c r="C39" s="29"/>
      <c r="D39" s="26">
        <v>0</v>
      </c>
      <c r="E39" s="384">
        <v>0</v>
      </c>
      <c r="F39" s="116">
        <v>0</v>
      </c>
      <c r="G39" s="116">
        <v>0</v>
      </c>
      <c r="H39" s="384">
        <f>SUM(E39:G39)</f>
        <v>0</v>
      </c>
      <c r="I39" s="384">
        <f>+D39*9/12</f>
        <v>0</v>
      </c>
      <c r="J39" s="141">
        <f>H39-I39</f>
        <v>0</v>
      </c>
      <c r="K39" s="148" t="str">
        <f>IF(J39=0,"",J39/I39)</f>
        <v/>
      </c>
      <c r="L39" s="164">
        <f t="shared" si="10"/>
        <v>0</v>
      </c>
    </row>
    <row r="40" spans="1:12" x14ac:dyDescent="0.25">
      <c r="A40" s="156" t="s">
        <v>115</v>
      </c>
      <c r="B40" s="157"/>
      <c r="C40" s="164"/>
      <c r="D40" s="162">
        <v>0</v>
      </c>
      <c r="E40" s="163">
        <v>0</v>
      </c>
      <c r="F40" s="163">
        <v>0</v>
      </c>
      <c r="G40" s="422">
        <v>0</v>
      </c>
      <c r="H40" s="384">
        <f>SUM(E40:G40)</f>
        <v>0</v>
      </c>
      <c r="I40" s="384">
        <f>+D40*9/12</f>
        <v>0</v>
      </c>
      <c r="J40" s="141">
        <v>0</v>
      </c>
      <c r="K40" s="148"/>
      <c r="L40" s="164">
        <f t="shared" si="10"/>
        <v>0</v>
      </c>
    </row>
    <row r="41" spans="1:12" x14ac:dyDescent="0.25">
      <c r="A41" s="155" t="s">
        <v>116</v>
      </c>
      <c r="B41" s="157"/>
      <c r="C41" s="164"/>
      <c r="D41" s="162">
        <v>0</v>
      </c>
      <c r="E41" s="163">
        <v>0</v>
      </c>
      <c r="F41" s="163">
        <v>0</v>
      </c>
      <c r="G41" s="422">
        <v>0</v>
      </c>
      <c r="H41" s="384">
        <f>SUM(E41:G41)</f>
        <v>0</v>
      </c>
      <c r="I41" s="163">
        <v>0</v>
      </c>
      <c r="J41" s="141">
        <v>0</v>
      </c>
      <c r="K41" s="148" t="s">
        <v>16</v>
      </c>
      <c r="L41" s="164">
        <f t="shared" si="10"/>
        <v>0</v>
      </c>
    </row>
    <row r="42" spans="1:12" x14ac:dyDescent="0.25">
      <c r="A42" s="119" t="s">
        <v>134</v>
      </c>
      <c r="B42" s="34">
        <v>3</v>
      </c>
      <c r="C42" s="15">
        <v>0</v>
      </c>
      <c r="D42" s="610">
        <f>+D22+D26+D32+D36</f>
        <v>47529977</v>
      </c>
      <c r="E42" s="612">
        <f>+E22+E26+E32+E36</f>
        <v>0</v>
      </c>
      <c r="F42" s="612">
        <f>+F22+F26+F32+F36</f>
        <v>1928709</v>
      </c>
      <c r="G42" s="612">
        <f t="shared" ref="G42:J42" si="15">+G22+G26+G32+G36</f>
        <v>6280575</v>
      </c>
      <c r="H42" s="612">
        <f>H22+H26+H32+H36+H41</f>
        <v>8209284</v>
      </c>
      <c r="I42" s="612">
        <f>+I22+I26+I32+I36</f>
        <v>11882494.25</v>
      </c>
      <c r="J42" s="612">
        <f t="shared" si="15"/>
        <v>-3673210.25</v>
      </c>
      <c r="K42" s="613">
        <f>IF(J42=0,"",J42/I42)</f>
        <v>-0.30912787944332482</v>
      </c>
      <c r="L42" s="612">
        <f>+L22+L26+L32+L36</f>
        <v>47529977</v>
      </c>
    </row>
    <row r="43" spans="1:12" x14ac:dyDescent="0.25">
      <c r="A43" s="138"/>
      <c r="B43" s="147"/>
      <c r="C43" s="159"/>
      <c r="D43" s="160"/>
      <c r="E43" s="141"/>
      <c r="F43" s="141"/>
      <c r="G43" s="412"/>
      <c r="H43" s="141"/>
      <c r="I43" s="141"/>
      <c r="J43" s="141"/>
      <c r="K43" s="148"/>
      <c r="L43" s="153">
        <f t="shared" si="10"/>
        <v>0</v>
      </c>
    </row>
    <row r="44" spans="1:12" x14ac:dyDescent="0.25">
      <c r="A44" s="137" t="s">
        <v>135</v>
      </c>
      <c r="B44" s="147"/>
      <c r="C44" s="159"/>
      <c r="D44" s="160"/>
      <c r="E44" s="141"/>
      <c r="F44" s="141"/>
      <c r="G44" s="412"/>
      <c r="H44" s="141"/>
      <c r="I44" s="141"/>
      <c r="J44" s="141"/>
      <c r="K44" s="148"/>
      <c r="L44" s="153">
        <f t="shared" si="10"/>
        <v>0</v>
      </c>
    </row>
    <row r="45" spans="1:12" x14ac:dyDescent="0.25">
      <c r="A45" s="144" t="s">
        <v>136</v>
      </c>
      <c r="B45" s="147"/>
      <c r="C45" s="161"/>
      <c r="D45" s="683">
        <v>47529977</v>
      </c>
      <c r="E45" s="163">
        <v>0</v>
      </c>
      <c r="F45" s="163">
        <v>1928709</v>
      </c>
      <c r="G45" s="422">
        <v>6280575</v>
      </c>
      <c r="H45" s="384">
        <f>SUM(E45:G45)</f>
        <v>8209284</v>
      </c>
      <c r="I45" s="384">
        <f>+D45/12*3</f>
        <v>11882494.25</v>
      </c>
      <c r="J45" s="141">
        <f>H45-I45</f>
        <v>-3673210.25</v>
      </c>
      <c r="K45" s="573">
        <f>IF(J45=0,"",J45/I45)</f>
        <v>-0.30912787944332482</v>
      </c>
      <c r="L45" s="164">
        <f t="shared" si="10"/>
        <v>47529977</v>
      </c>
    </row>
    <row r="46" spans="1:12" x14ac:dyDescent="0.25">
      <c r="A46" s="144" t="s">
        <v>137</v>
      </c>
      <c r="B46" s="147"/>
      <c r="C46" s="161"/>
      <c r="D46" s="162">
        <v>0</v>
      </c>
      <c r="E46" s="163">
        <v>0</v>
      </c>
      <c r="F46" s="163">
        <v>0</v>
      </c>
      <c r="G46" s="422">
        <v>0</v>
      </c>
      <c r="H46" s="384">
        <f>SUM(E46:G46)</f>
        <v>0</v>
      </c>
      <c r="I46" s="384">
        <f>+D46*9/12</f>
        <v>0</v>
      </c>
      <c r="J46" s="141">
        <v>0</v>
      </c>
      <c r="K46" s="148">
        <v>0</v>
      </c>
      <c r="L46" s="369">
        <f t="shared" si="10"/>
        <v>0</v>
      </c>
    </row>
    <row r="47" spans="1:12" x14ac:dyDescent="0.25">
      <c r="A47" s="144" t="s">
        <v>138</v>
      </c>
      <c r="B47" s="147"/>
      <c r="C47" s="161"/>
      <c r="D47" s="162">
        <v>0</v>
      </c>
      <c r="E47" s="163">
        <v>0</v>
      </c>
      <c r="F47" s="163">
        <v>0</v>
      </c>
      <c r="G47" s="422">
        <v>0</v>
      </c>
      <c r="H47" s="384">
        <f>SUM(E47:G47)</f>
        <v>0</v>
      </c>
      <c r="I47" s="384">
        <f>+D47*9/12</f>
        <v>0</v>
      </c>
      <c r="J47" s="141">
        <v>0</v>
      </c>
      <c r="K47" s="148" t="s">
        <v>16</v>
      </c>
      <c r="L47" s="369">
        <f t="shared" si="10"/>
        <v>0</v>
      </c>
    </row>
    <row r="48" spans="1:12" x14ac:dyDescent="0.25">
      <c r="A48" s="165" t="s">
        <v>139</v>
      </c>
      <c r="B48" s="149"/>
      <c r="C48" s="21"/>
      <c r="D48" s="25">
        <v>0</v>
      </c>
      <c r="E48" s="22">
        <v>0</v>
      </c>
      <c r="F48" s="22">
        <v>0</v>
      </c>
      <c r="G48" s="22">
        <v>0</v>
      </c>
      <c r="H48" s="384">
        <f>SUM(E48:G48)</f>
        <v>0</v>
      </c>
      <c r="I48" s="384">
        <f>+D48*9/12</f>
        <v>0</v>
      </c>
      <c r="J48" s="142">
        <v>0</v>
      </c>
      <c r="K48" s="23">
        <v>0</v>
      </c>
      <c r="L48" s="369">
        <f t="shared" si="10"/>
        <v>0</v>
      </c>
    </row>
    <row r="49" spans="1:13" x14ac:dyDescent="0.25">
      <c r="A49" s="167" t="s">
        <v>47</v>
      </c>
      <c r="B49" s="147"/>
      <c r="C49" s="549">
        <f>SUM(C45:C48)</f>
        <v>0</v>
      </c>
      <c r="D49" s="589">
        <f>SUM(D45:D48)</f>
        <v>47529977</v>
      </c>
      <c r="E49" s="590">
        <f t="shared" ref="E49:L49" si="16">SUM(E45:E48)</f>
        <v>0</v>
      </c>
      <c r="F49" s="590">
        <f t="shared" si="16"/>
        <v>1928709</v>
      </c>
      <c r="G49" s="590">
        <f t="shared" si="16"/>
        <v>6280575</v>
      </c>
      <c r="H49" s="590">
        <f t="shared" si="16"/>
        <v>8209284</v>
      </c>
      <c r="I49" s="590">
        <f t="shared" si="16"/>
        <v>11882494.25</v>
      </c>
      <c r="J49" s="590">
        <f>H49-I49</f>
        <v>-3673210.25</v>
      </c>
      <c r="K49" s="587">
        <f>IF(J49=0,"",J49/I49)</f>
        <v>-0.30912787944332482</v>
      </c>
      <c r="L49" s="591">
        <f t="shared" si="16"/>
        <v>47529977</v>
      </c>
    </row>
    <row r="50" spans="1:13" x14ac:dyDescent="0.25">
      <c r="A50" s="143" t="s">
        <v>68</v>
      </c>
      <c r="B50" s="147">
        <v>5</v>
      </c>
      <c r="C50" s="161"/>
      <c r="D50" s="162">
        <v>0</v>
      </c>
      <c r="E50" s="163">
        <v>0</v>
      </c>
      <c r="F50" s="163">
        <v>0</v>
      </c>
      <c r="G50" s="422">
        <v>0</v>
      </c>
      <c r="H50" s="384">
        <f>SUM(E50:G50)</f>
        <v>0</v>
      </c>
      <c r="I50" s="384">
        <f>+D50*0.5</f>
        <v>0</v>
      </c>
      <c r="J50" s="141">
        <v>0</v>
      </c>
      <c r="K50" s="148" t="s">
        <v>16</v>
      </c>
      <c r="L50" s="369">
        <f t="shared" si="10"/>
        <v>0</v>
      </c>
    </row>
    <row r="51" spans="1:13" x14ac:dyDescent="0.25">
      <c r="A51" s="143" t="s">
        <v>69</v>
      </c>
      <c r="B51" s="147">
        <v>6</v>
      </c>
      <c r="C51" s="161"/>
      <c r="D51" s="162">
        <v>0</v>
      </c>
      <c r="E51" s="163">
        <v>0</v>
      </c>
      <c r="F51" s="163">
        <v>0</v>
      </c>
      <c r="G51" s="422">
        <v>0</v>
      </c>
      <c r="H51" s="384">
        <f>SUM(E51:G51)</f>
        <v>0</v>
      </c>
      <c r="I51" s="384">
        <f>+D51*0.5</f>
        <v>0</v>
      </c>
      <c r="J51" s="141">
        <v>0</v>
      </c>
      <c r="K51" s="148" t="s">
        <v>16</v>
      </c>
      <c r="L51" s="369">
        <f t="shared" si="10"/>
        <v>0</v>
      </c>
    </row>
    <row r="52" spans="1:13" x14ac:dyDescent="0.25">
      <c r="A52" s="143" t="s">
        <v>70</v>
      </c>
      <c r="B52" s="147"/>
      <c r="C52" s="161"/>
      <c r="D52" s="162">
        <v>0</v>
      </c>
      <c r="E52" s="163">
        <v>0</v>
      </c>
      <c r="F52" s="163">
        <v>0</v>
      </c>
      <c r="G52" s="422">
        <f>+G22</f>
        <v>0</v>
      </c>
      <c r="H52" s="384">
        <f>SUM(E52:G52)</f>
        <v>0</v>
      </c>
      <c r="I52" s="384">
        <f>+D52*9/12</f>
        <v>0</v>
      </c>
      <c r="J52" s="141">
        <f>H52-I52</f>
        <v>0</v>
      </c>
      <c r="K52" s="148">
        <v>-1</v>
      </c>
      <c r="L52" s="369">
        <f t="shared" si="10"/>
        <v>0</v>
      </c>
    </row>
    <row r="53" spans="1:13" ht="15.75" thickBot="1" x14ac:dyDescent="0.3">
      <c r="A53" s="33" t="s">
        <v>140</v>
      </c>
      <c r="B53" s="24"/>
      <c r="C53" s="19">
        <f t="shared" ref="C53:I53" si="17">SUM(C49:C52)</f>
        <v>0</v>
      </c>
      <c r="D53" s="614">
        <f t="shared" si="17"/>
        <v>47529977</v>
      </c>
      <c r="E53" s="614">
        <f t="shared" si="17"/>
        <v>0</v>
      </c>
      <c r="F53" s="614">
        <f t="shared" si="17"/>
        <v>1928709</v>
      </c>
      <c r="G53" s="614">
        <f t="shared" si="17"/>
        <v>6280575</v>
      </c>
      <c r="H53" s="614">
        <f t="shared" si="17"/>
        <v>8209284</v>
      </c>
      <c r="I53" s="614">
        <f t="shared" si="17"/>
        <v>11882494.25</v>
      </c>
      <c r="J53" s="614">
        <f>H53-I53</f>
        <v>-3673210.25</v>
      </c>
      <c r="K53" s="615">
        <f>IF(J53=0,"",J53/I53)</f>
        <v>-0.30912787944332482</v>
      </c>
      <c r="L53" s="616">
        <f>SUM(L49:L52)</f>
        <v>47529977</v>
      </c>
      <c r="M53" s="545"/>
    </row>
  </sheetData>
  <mergeCells count="3">
    <mergeCell ref="A1:L1"/>
    <mergeCell ref="A2:A3"/>
    <mergeCell ref="B2:B3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G48"/>
  <sheetViews>
    <sheetView workbookViewId="0">
      <selection sqref="A1:G1"/>
    </sheetView>
  </sheetViews>
  <sheetFormatPr defaultRowHeight="15" x14ac:dyDescent="0.25"/>
  <cols>
    <col min="1" max="1" width="34.85546875" customWidth="1"/>
    <col min="2" max="2" width="3.140625" bestFit="1" customWidth="1"/>
    <col min="3" max="3" width="6.85546875" bestFit="1" customWidth="1"/>
    <col min="4" max="4" width="6.5703125" bestFit="1" customWidth="1"/>
    <col min="5" max="5" width="6.85546875" bestFit="1" customWidth="1"/>
    <col min="6" max="6" width="6.5703125" bestFit="1" customWidth="1"/>
    <col min="7" max="7" width="6.85546875" bestFit="1" customWidth="1"/>
  </cols>
  <sheetData>
    <row r="1" spans="1:7" x14ac:dyDescent="0.25">
      <c r="A1" s="769" t="s">
        <v>415</v>
      </c>
      <c r="B1" s="769"/>
      <c r="C1" s="769"/>
      <c r="D1" s="769"/>
      <c r="E1" s="769"/>
      <c r="F1" s="769"/>
      <c r="G1" s="769"/>
    </row>
    <row r="2" spans="1:7" x14ac:dyDescent="0.25">
      <c r="A2" s="763" t="s">
        <v>0</v>
      </c>
      <c r="B2" s="767" t="s">
        <v>1</v>
      </c>
      <c r="C2" s="210" t="s">
        <v>370</v>
      </c>
      <c r="D2" s="218" t="s">
        <v>369</v>
      </c>
      <c r="E2" s="216"/>
      <c r="F2" s="216"/>
      <c r="G2" s="217"/>
    </row>
    <row r="3" spans="1:7" ht="25.5" x14ac:dyDescent="0.25">
      <c r="A3" s="764"/>
      <c r="B3" s="768"/>
      <c r="C3" s="210" t="s">
        <v>3</v>
      </c>
      <c r="D3" s="219" t="s">
        <v>4</v>
      </c>
      <c r="E3" s="211" t="s">
        <v>5</v>
      </c>
      <c r="F3" s="211" t="s">
        <v>416</v>
      </c>
      <c r="G3" s="212" t="s">
        <v>10</v>
      </c>
    </row>
    <row r="4" spans="1:7" x14ac:dyDescent="0.25">
      <c r="A4" s="204" t="s">
        <v>11</v>
      </c>
      <c r="B4" s="187">
        <v>1</v>
      </c>
      <c r="C4" s="214"/>
      <c r="D4" s="203"/>
      <c r="E4" s="186"/>
      <c r="F4" s="206"/>
      <c r="G4" s="215"/>
    </row>
    <row r="5" spans="1:7" x14ac:dyDescent="0.25">
      <c r="A5" s="202" t="s">
        <v>141</v>
      </c>
      <c r="B5" s="185"/>
      <c r="C5" s="200"/>
      <c r="D5" s="201"/>
      <c r="E5" s="227"/>
      <c r="F5" s="227"/>
      <c r="G5" s="184"/>
    </row>
    <row r="6" spans="1:7" x14ac:dyDescent="0.25">
      <c r="A6" s="208" t="s">
        <v>142</v>
      </c>
      <c r="B6" s="213"/>
      <c r="C6" s="221"/>
      <c r="D6" s="183"/>
      <c r="E6" s="199"/>
      <c r="F6" s="199"/>
      <c r="G6" s="182"/>
    </row>
    <row r="7" spans="1:7" x14ac:dyDescent="0.25">
      <c r="A7" s="207" t="s">
        <v>143</v>
      </c>
      <c r="B7" s="213"/>
      <c r="C7" s="224">
        <v>0</v>
      </c>
      <c r="D7" s="684">
        <v>-25027535.102546494</v>
      </c>
      <c r="E7" s="225">
        <v>0</v>
      </c>
      <c r="F7" s="422">
        <v>38800</v>
      </c>
      <c r="G7" s="226">
        <f>D7</f>
        <v>-25027535.102546494</v>
      </c>
    </row>
    <row r="8" spans="1:7" x14ac:dyDescent="0.25">
      <c r="A8" s="207" t="s">
        <v>144</v>
      </c>
      <c r="B8" s="213"/>
      <c r="C8" s="224">
        <v>0</v>
      </c>
      <c r="D8" s="684">
        <v>2140000</v>
      </c>
      <c r="E8" s="225">
        <v>0</v>
      </c>
      <c r="F8" s="225">
        <v>514460</v>
      </c>
      <c r="G8" s="226">
        <f t="shared" ref="G8:G12" si="0">D8</f>
        <v>2140000</v>
      </c>
    </row>
    <row r="9" spans="1:7" x14ac:dyDescent="0.25">
      <c r="A9" s="207" t="s">
        <v>145</v>
      </c>
      <c r="B9" s="213"/>
      <c r="C9" s="224">
        <v>0</v>
      </c>
      <c r="D9" s="684">
        <v>15047563</v>
      </c>
      <c r="E9" s="225">
        <v>0</v>
      </c>
      <c r="F9" s="422">
        <v>128859203</v>
      </c>
      <c r="G9" s="226">
        <f t="shared" si="0"/>
        <v>15047563</v>
      </c>
    </row>
    <row r="10" spans="1:7" x14ac:dyDescent="0.25">
      <c r="A10" s="207" t="s">
        <v>146</v>
      </c>
      <c r="B10" s="213"/>
      <c r="C10" s="224">
        <v>0</v>
      </c>
      <c r="D10" s="684">
        <v>0</v>
      </c>
      <c r="E10" s="225">
        <v>0</v>
      </c>
      <c r="F10" s="422">
        <v>195792269</v>
      </c>
      <c r="G10" s="226">
        <f t="shared" si="0"/>
        <v>0</v>
      </c>
    </row>
    <row r="11" spans="1:7" x14ac:dyDescent="0.25">
      <c r="A11" s="207" t="s">
        <v>147</v>
      </c>
      <c r="B11" s="213"/>
      <c r="C11" s="224">
        <v>0</v>
      </c>
      <c r="D11" s="684">
        <v>0</v>
      </c>
      <c r="E11" s="225">
        <v>0</v>
      </c>
      <c r="F11" s="225">
        <v>0</v>
      </c>
      <c r="G11" s="226">
        <f t="shared" si="0"/>
        <v>0</v>
      </c>
    </row>
    <row r="12" spans="1:7" x14ac:dyDescent="0.25">
      <c r="A12" s="207" t="s">
        <v>148</v>
      </c>
      <c r="B12" s="213"/>
      <c r="C12" s="224">
        <v>0</v>
      </c>
      <c r="D12" s="684">
        <v>535000</v>
      </c>
      <c r="E12" s="225">
        <v>0</v>
      </c>
      <c r="F12" s="422">
        <v>863643</v>
      </c>
      <c r="G12" s="226">
        <f t="shared" si="0"/>
        <v>535000</v>
      </c>
    </row>
    <row r="13" spans="1:7" x14ac:dyDescent="0.25">
      <c r="A13" s="188" t="s">
        <v>73</v>
      </c>
      <c r="B13" s="118"/>
      <c r="C13" s="15">
        <v>0</v>
      </c>
      <c r="D13" s="31">
        <f>SUM(D7:D12)</f>
        <v>-7304972.1025464945</v>
      </c>
      <c r="E13" s="20">
        <v>0</v>
      </c>
      <c r="F13" s="20">
        <f>SUM(F7:F12)</f>
        <v>326068375</v>
      </c>
      <c r="G13" s="32">
        <f>SUM(G7:G12)</f>
        <v>-7304972.1025464945</v>
      </c>
    </row>
    <row r="14" spans="1:7" x14ac:dyDescent="0.25">
      <c r="A14" s="209"/>
      <c r="B14" s="213"/>
      <c r="C14" s="222"/>
      <c r="D14" s="223"/>
      <c r="E14" s="205"/>
      <c r="F14" s="205"/>
      <c r="G14" s="220"/>
    </row>
    <row r="15" spans="1:7" x14ac:dyDescent="0.25">
      <c r="A15" s="208" t="s">
        <v>149</v>
      </c>
      <c r="B15" s="213"/>
      <c r="C15" s="222"/>
      <c r="D15" s="223"/>
      <c r="E15" s="205"/>
      <c r="F15" s="205"/>
      <c r="G15" s="220"/>
    </row>
    <row r="16" spans="1:7" x14ac:dyDescent="0.25">
      <c r="A16" s="207" t="s">
        <v>150</v>
      </c>
      <c r="B16" s="213"/>
      <c r="C16" s="224">
        <v>0</v>
      </c>
      <c r="D16" s="684">
        <v>0</v>
      </c>
      <c r="E16" s="225">
        <v>0</v>
      </c>
      <c r="F16" s="225">
        <v>0</v>
      </c>
      <c r="G16" s="226">
        <f t="shared" ref="G16:G24" si="1">D16</f>
        <v>0</v>
      </c>
    </row>
    <row r="17" spans="1:7" x14ac:dyDescent="0.25">
      <c r="A17" s="207" t="s">
        <v>151</v>
      </c>
      <c r="B17" s="213"/>
      <c r="C17" s="224">
        <v>0</v>
      </c>
      <c r="D17" s="684">
        <v>0</v>
      </c>
      <c r="E17" s="225">
        <v>0</v>
      </c>
      <c r="F17" s="225">
        <v>2225524</v>
      </c>
      <c r="G17" s="226">
        <f t="shared" si="1"/>
        <v>0</v>
      </c>
    </row>
    <row r="18" spans="1:7" x14ac:dyDescent="0.25">
      <c r="A18" s="207" t="s">
        <v>152</v>
      </c>
      <c r="B18" s="213"/>
      <c r="C18" s="224">
        <v>0</v>
      </c>
      <c r="D18" s="684">
        <v>17411856.050000001</v>
      </c>
      <c r="E18" s="225">
        <v>0</v>
      </c>
      <c r="F18" s="422">
        <v>17110063</v>
      </c>
      <c r="G18" s="226">
        <f t="shared" si="1"/>
        <v>17411856.050000001</v>
      </c>
    </row>
    <row r="19" spans="1:7" x14ac:dyDescent="0.25">
      <c r="A19" s="207" t="s">
        <v>153</v>
      </c>
      <c r="B19" s="213"/>
      <c r="C19" s="224">
        <v>0</v>
      </c>
      <c r="D19" s="684">
        <v>0</v>
      </c>
      <c r="E19" s="225">
        <v>0</v>
      </c>
      <c r="F19" s="422">
        <v>0</v>
      </c>
      <c r="G19" s="226">
        <f t="shared" si="1"/>
        <v>0</v>
      </c>
    </row>
    <row r="20" spans="1:7" x14ac:dyDescent="0.25">
      <c r="A20" s="207" t="s">
        <v>154</v>
      </c>
      <c r="B20" s="213"/>
      <c r="C20" s="224">
        <v>0</v>
      </c>
      <c r="D20" s="684">
        <v>644693523</v>
      </c>
      <c r="E20" s="225">
        <v>0</v>
      </c>
      <c r="F20" s="422">
        <v>523873702</v>
      </c>
      <c r="G20" s="226">
        <f t="shared" si="1"/>
        <v>644693523</v>
      </c>
    </row>
    <row r="21" spans="1:7" x14ac:dyDescent="0.25">
      <c r="A21" s="207" t="s">
        <v>155</v>
      </c>
      <c r="B21" s="213"/>
      <c r="C21" s="224">
        <v>0</v>
      </c>
      <c r="D21" s="684">
        <v>0</v>
      </c>
      <c r="E21" s="225">
        <v>0</v>
      </c>
      <c r="F21" s="225">
        <v>0</v>
      </c>
      <c r="G21" s="226">
        <f t="shared" si="1"/>
        <v>0</v>
      </c>
    </row>
    <row r="22" spans="1:7" x14ac:dyDescent="0.25">
      <c r="A22" s="207" t="s">
        <v>156</v>
      </c>
      <c r="B22" s="213"/>
      <c r="C22" s="224">
        <v>0</v>
      </c>
      <c r="D22" s="684">
        <v>0</v>
      </c>
      <c r="E22" s="225">
        <v>0</v>
      </c>
      <c r="F22" s="225">
        <v>0</v>
      </c>
      <c r="G22" s="226">
        <f t="shared" si="1"/>
        <v>0</v>
      </c>
    </row>
    <row r="23" spans="1:7" x14ac:dyDescent="0.25">
      <c r="A23" s="207" t="s">
        <v>157</v>
      </c>
      <c r="B23" s="213"/>
      <c r="C23" s="224">
        <v>0</v>
      </c>
      <c r="D23" s="684">
        <v>0</v>
      </c>
      <c r="E23" s="225">
        <v>0</v>
      </c>
      <c r="F23" s="225">
        <v>0</v>
      </c>
      <c r="G23" s="226">
        <f t="shared" si="1"/>
        <v>0</v>
      </c>
    </row>
    <row r="24" spans="1:7" x14ac:dyDescent="0.25">
      <c r="A24" s="207" t="s">
        <v>158</v>
      </c>
      <c r="B24" s="213"/>
      <c r="C24" s="224">
        <v>0</v>
      </c>
      <c r="D24" s="684">
        <v>0</v>
      </c>
      <c r="E24" s="225">
        <v>0</v>
      </c>
      <c r="F24" s="225">
        <v>0</v>
      </c>
      <c r="G24" s="226">
        <f t="shared" si="1"/>
        <v>0</v>
      </c>
    </row>
    <row r="25" spans="1:7" x14ac:dyDescent="0.25">
      <c r="A25" s="188" t="s">
        <v>74</v>
      </c>
      <c r="B25" s="118"/>
      <c r="C25" s="15">
        <v>0</v>
      </c>
      <c r="D25" s="31">
        <f>SUM(D16:D24)</f>
        <v>662105379.04999995</v>
      </c>
      <c r="E25" s="20">
        <v>0</v>
      </c>
      <c r="F25" s="20">
        <f>SUM(F16:F24)</f>
        <v>543209289</v>
      </c>
      <c r="G25" s="32">
        <f>SUM(G16:G24)</f>
        <v>662105379.04999995</v>
      </c>
    </row>
    <row r="26" spans="1:7" x14ac:dyDescent="0.25">
      <c r="A26" s="188" t="s">
        <v>159</v>
      </c>
      <c r="B26" s="118"/>
      <c r="C26" s="15">
        <v>0</v>
      </c>
      <c r="D26" s="31">
        <f>D13+D25</f>
        <v>654800406.9474535</v>
      </c>
      <c r="E26" s="20">
        <v>0</v>
      </c>
      <c r="F26" s="20">
        <f>+F13+F25</f>
        <v>869277664</v>
      </c>
      <c r="G26" s="32">
        <f>G13+G25</f>
        <v>654800406.9474535</v>
      </c>
    </row>
    <row r="27" spans="1:7" x14ac:dyDescent="0.25">
      <c r="A27" s="209"/>
      <c r="B27" s="213"/>
      <c r="C27" s="222"/>
      <c r="D27" s="223"/>
      <c r="E27" s="205"/>
      <c r="F27" s="205"/>
      <c r="G27" s="220"/>
    </row>
    <row r="28" spans="1:7" x14ac:dyDescent="0.25">
      <c r="A28" s="181" t="s">
        <v>160</v>
      </c>
      <c r="B28" s="213"/>
      <c r="C28" s="222"/>
      <c r="D28" s="223"/>
      <c r="E28" s="205"/>
      <c r="F28" s="205"/>
      <c r="G28" s="220"/>
    </row>
    <row r="29" spans="1:7" x14ac:dyDescent="0.25">
      <c r="A29" s="208" t="s">
        <v>161</v>
      </c>
      <c r="B29" s="189"/>
      <c r="C29" s="222"/>
      <c r="D29" s="223"/>
      <c r="E29" s="205"/>
      <c r="F29" s="205"/>
      <c r="G29" s="220"/>
    </row>
    <row r="30" spans="1:7" x14ac:dyDescent="0.25">
      <c r="A30" s="207" t="s">
        <v>162</v>
      </c>
      <c r="B30" s="213"/>
      <c r="C30" s="224">
        <v>0</v>
      </c>
      <c r="D30" s="684">
        <v>0</v>
      </c>
      <c r="E30" s="225">
        <v>0</v>
      </c>
      <c r="F30" s="422">
        <v>8241624</v>
      </c>
      <c r="G30" s="226">
        <f t="shared" ref="G30:G34" si="2">D30</f>
        <v>0</v>
      </c>
    </row>
    <row r="31" spans="1:7" x14ac:dyDescent="0.25">
      <c r="A31" s="207" t="s">
        <v>69</v>
      </c>
      <c r="B31" s="213"/>
      <c r="C31" s="224">
        <v>0</v>
      </c>
      <c r="D31" s="684">
        <v>64172</v>
      </c>
      <c r="E31" s="225">
        <v>0</v>
      </c>
      <c r="F31" s="225">
        <v>0</v>
      </c>
      <c r="G31" s="226">
        <f t="shared" si="2"/>
        <v>64172</v>
      </c>
    </row>
    <row r="32" spans="1:7" x14ac:dyDescent="0.25">
      <c r="A32" s="207" t="s">
        <v>163</v>
      </c>
      <c r="B32" s="213"/>
      <c r="C32" s="224">
        <v>0</v>
      </c>
      <c r="D32" s="684">
        <v>879436.21000000008</v>
      </c>
      <c r="E32" s="225">
        <v>0</v>
      </c>
      <c r="F32" s="422">
        <v>241844</v>
      </c>
      <c r="G32" s="226">
        <f t="shared" si="2"/>
        <v>879436.21000000008</v>
      </c>
    </row>
    <row r="33" spans="1:7" x14ac:dyDescent="0.25">
      <c r="A33" s="207" t="s">
        <v>164</v>
      </c>
      <c r="B33" s="213"/>
      <c r="C33" s="224">
        <v>0</v>
      </c>
      <c r="D33" s="684">
        <v>0</v>
      </c>
      <c r="E33" s="225">
        <v>0</v>
      </c>
      <c r="F33" s="422">
        <v>139876125</v>
      </c>
      <c r="G33" s="226">
        <f t="shared" si="2"/>
        <v>0</v>
      </c>
    </row>
    <row r="34" spans="1:7" x14ac:dyDescent="0.25">
      <c r="A34" s="207" t="s">
        <v>165</v>
      </c>
      <c r="B34" s="213"/>
      <c r="C34" s="224">
        <v>0</v>
      </c>
      <c r="D34" s="684">
        <v>0</v>
      </c>
      <c r="E34" s="225">
        <v>0</v>
      </c>
      <c r="F34" s="422">
        <v>154008969</v>
      </c>
      <c r="G34" s="226">
        <f t="shared" si="2"/>
        <v>0</v>
      </c>
    </row>
    <row r="35" spans="1:7" x14ac:dyDescent="0.25">
      <c r="A35" s="188" t="s">
        <v>75</v>
      </c>
      <c r="B35" s="118"/>
      <c r="C35" s="15">
        <v>0</v>
      </c>
      <c r="D35" s="31">
        <f>SUM(D30:D34)</f>
        <v>943608.21000000008</v>
      </c>
      <c r="E35" s="20">
        <v>0</v>
      </c>
      <c r="F35" s="20">
        <f>SUM(F30:F34)</f>
        <v>302368562</v>
      </c>
      <c r="G35" s="32">
        <f>SUM(G30:G34)</f>
        <v>943608.21000000008</v>
      </c>
    </row>
    <row r="36" spans="1:7" x14ac:dyDescent="0.25">
      <c r="A36" s="209"/>
      <c r="B36" s="213"/>
      <c r="C36" s="222"/>
      <c r="D36" s="223"/>
      <c r="E36" s="205"/>
      <c r="F36" s="205" t="s">
        <v>350</v>
      </c>
      <c r="G36" s="220"/>
    </row>
    <row r="37" spans="1:7" x14ac:dyDescent="0.25">
      <c r="A37" s="208" t="s">
        <v>166</v>
      </c>
      <c r="B37" s="213"/>
      <c r="C37" s="222"/>
      <c r="D37" s="223"/>
      <c r="E37" s="205"/>
      <c r="F37" s="205"/>
      <c r="G37" s="220"/>
    </row>
    <row r="38" spans="1:7" x14ac:dyDescent="0.25">
      <c r="A38" s="207" t="s">
        <v>69</v>
      </c>
      <c r="B38" s="213"/>
      <c r="C38" s="224">
        <v>0</v>
      </c>
      <c r="D38" s="684">
        <v>2591222</v>
      </c>
      <c r="E38" s="225">
        <v>0</v>
      </c>
      <c r="F38" s="422">
        <v>1457414</v>
      </c>
      <c r="G38" s="226">
        <f t="shared" ref="G38:G39" si="3">D38</f>
        <v>2591222</v>
      </c>
    </row>
    <row r="39" spans="1:7" x14ac:dyDescent="0.25">
      <c r="A39" s="207" t="s">
        <v>165</v>
      </c>
      <c r="B39" s="213"/>
      <c r="C39" s="224">
        <v>0</v>
      </c>
      <c r="D39" s="684">
        <v>29224993</v>
      </c>
      <c r="E39" s="225">
        <v>0</v>
      </c>
      <c r="F39" s="422">
        <v>62731899</v>
      </c>
      <c r="G39" s="226">
        <f t="shared" si="3"/>
        <v>29224993</v>
      </c>
    </row>
    <row r="40" spans="1:7" x14ac:dyDescent="0.25">
      <c r="A40" s="188" t="s">
        <v>76</v>
      </c>
      <c r="B40" s="118"/>
      <c r="C40" s="15">
        <v>0</v>
      </c>
      <c r="D40" s="31">
        <f>SUM(D38:D39)</f>
        <v>31816215</v>
      </c>
      <c r="E40" s="20">
        <v>0</v>
      </c>
      <c r="F40" s="20">
        <f>SUM(F38:F39)</f>
        <v>64189313</v>
      </c>
      <c r="G40" s="32">
        <f>SUM(G38:G39)</f>
        <v>31816215</v>
      </c>
    </row>
    <row r="41" spans="1:7" x14ac:dyDescent="0.25">
      <c r="A41" s="188" t="s">
        <v>167</v>
      </c>
      <c r="B41" s="118"/>
      <c r="C41" s="15">
        <v>0</v>
      </c>
      <c r="D41" s="31">
        <f>D35+D40</f>
        <v>32759823.210000001</v>
      </c>
      <c r="E41" s="20">
        <v>0</v>
      </c>
      <c r="F41" s="20">
        <f>+F35+F40</f>
        <v>366557875</v>
      </c>
      <c r="G41" s="32">
        <f>G35+G40</f>
        <v>32759823.210000001</v>
      </c>
    </row>
    <row r="42" spans="1:7" x14ac:dyDescent="0.25">
      <c r="A42" s="209"/>
      <c r="B42" s="213"/>
      <c r="C42" s="222"/>
      <c r="D42" s="223"/>
      <c r="E42" s="205"/>
      <c r="F42" s="205"/>
      <c r="G42" s="220"/>
    </row>
    <row r="43" spans="1:7" x14ac:dyDescent="0.25">
      <c r="A43" s="190" t="s">
        <v>168</v>
      </c>
      <c r="B43" s="187">
        <v>2</v>
      </c>
      <c r="C43" s="18">
        <v>0</v>
      </c>
      <c r="D43" s="230">
        <f>D26-D41</f>
        <v>622040583.73745346</v>
      </c>
      <c r="E43" s="228">
        <v>0</v>
      </c>
      <c r="F43" s="228">
        <f>+F26-F41</f>
        <v>502719789</v>
      </c>
      <c r="G43" s="229">
        <f>G26-G41</f>
        <v>622040583.73745346</v>
      </c>
    </row>
    <row r="44" spans="1:7" x14ac:dyDescent="0.25">
      <c r="A44" s="209"/>
      <c r="B44" s="213"/>
      <c r="C44" s="222"/>
      <c r="D44" s="223"/>
      <c r="E44" s="205"/>
      <c r="F44" s="205"/>
      <c r="G44" s="220"/>
    </row>
    <row r="45" spans="1:7" x14ac:dyDescent="0.25">
      <c r="A45" s="181" t="s">
        <v>169</v>
      </c>
      <c r="B45" s="213"/>
      <c r="C45" s="222"/>
      <c r="D45" s="223"/>
      <c r="E45" s="205"/>
      <c r="F45" s="205"/>
      <c r="G45" s="220"/>
    </row>
    <row r="46" spans="1:7" x14ac:dyDescent="0.25">
      <c r="A46" s="207" t="s">
        <v>170</v>
      </c>
      <c r="B46" s="213"/>
      <c r="C46" s="224">
        <v>0</v>
      </c>
      <c r="D46" s="684">
        <v>622040583.73745346</v>
      </c>
      <c r="E46" s="225">
        <v>0</v>
      </c>
      <c r="F46" s="422">
        <v>502719789</v>
      </c>
      <c r="G46" s="226">
        <f>D46</f>
        <v>622040583.73745346</v>
      </c>
    </row>
    <row r="47" spans="1:7" x14ac:dyDescent="0.25">
      <c r="A47" s="207" t="s">
        <v>171</v>
      </c>
      <c r="B47" s="213"/>
      <c r="C47" s="224">
        <v>0</v>
      </c>
      <c r="D47" s="684">
        <v>0</v>
      </c>
      <c r="E47" s="225">
        <v>0</v>
      </c>
      <c r="F47" s="225">
        <v>0</v>
      </c>
      <c r="G47" s="226">
        <v>0</v>
      </c>
    </row>
    <row r="48" spans="1:7" ht="15.75" thickBot="1" x14ac:dyDescent="0.3">
      <c r="A48" s="179" t="s">
        <v>172</v>
      </c>
      <c r="B48" s="197">
        <v>2</v>
      </c>
      <c r="C48" s="30">
        <v>0</v>
      </c>
      <c r="D48" s="19">
        <f>SUM(D46:D47)</f>
        <v>622040583.73745346</v>
      </c>
      <c r="E48" s="115">
        <v>0</v>
      </c>
      <c r="F48" s="115">
        <f>SUM(F46:F47)</f>
        <v>502719789</v>
      </c>
      <c r="G48" s="114">
        <f>SUM(G46:G47)</f>
        <v>622040583.73745346</v>
      </c>
    </row>
  </sheetData>
  <mergeCells count="3">
    <mergeCell ref="A2:A3"/>
    <mergeCell ref="B2:B3"/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M41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L1"/>
    </sheetView>
  </sheetViews>
  <sheetFormatPr defaultRowHeight="15" x14ac:dyDescent="0.25"/>
  <cols>
    <col min="1" max="1" width="34.140625" bestFit="1" customWidth="1"/>
    <col min="2" max="2" width="3.140625" bestFit="1" customWidth="1"/>
    <col min="3" max="3" width="6.85546875" bestFit="1" customWidth="1"/>
    <col min="4" max="4" width="8.42578125" customWidth="1"/>
    <col min="5" max="5" width="9.42578125" bestFit="1" customWidth="1"/>
    <col min="6" max="6" width="8.5703125" customWidth="1"/>
    <col min="7" max="7" width="9.42578125" bestFit="1" customWidth="1"/>
    <col min="8" max="8" width="7.7109375" customWidth="1"/>
    <col min="9" max="9" width="7.28515625" customWidth="1"/>
    <col min="10" max="10" width="8.85546875" bestFit="1" customWidth="1"/>
    <col min="11" max="11" width="7.140625" customWidth="1"/>
    <col min="12" max="12" width="7.85546875" customWidth="1"/>
  </cols>
  <sheetData>
    <row r="1" spans="1:12" x14ac:dyDescent="0.25">
      <c r="A1" s="770" t="s">
        <v>361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</row>
    <row r="2" spans="1:12" x14ac:dyDescent="0.25">
      <c r="A2" s="763" t="s">
        <v>0</v>
      </c>
      <c r="B2" s="767" t="s">
        <v>1</v>
      </c>
      <c r="C2" s="247" t="s">
        <v>370</v>
      </c>
      <c r="D2" s="260" t="s">
        <v>369</v>
      </c>
      <c r="E2" s="257"/>
      <c r="F2" s="257"/>
      <c r="G2" s="418"/>
      <c r="H2" s="257"/>
      <c r="I2" s="257"/>
      <c r="J2" s="257"/>
      <c r="K2" s="257"/>
      <c r="L2" s="258"/>
    </row>
    <row r="3" spans="1:12" ht="51" x14ac:dyDescent="0.25">
      <c r="A3" s="764"/>
      <c r="B3" s="768"/>
      <c r="C3" s="249" t="s">
        <v>3</v>
      </c>
      <c r="D3" s="253" t="s">
        <v>4</v>
      </c>
      <c r="E3" s="248" t="s">
        <v>417</v>
      </c>
      <c r="F3" s="415" t="s">
        <v>418</v>
      </c>
      <c r="G3" s="415" t="s">
        <v>419</v>
      </c>
      <c r="H3" s="248" t="s">
        <v>414</v>
      </c>
      <c r="I3" s="248" t="s">
        <v>8</v>
      </c>
      <c r="J3" s="248" t="s">
        <v>9</v>
      </c>
      <c r="K3" s="255" t="s">
        <v>9</v>
      </c>
      <c r="L3" s="250" t="s">
        <v>10</v>
      </c>
    </row>
    <row r="4" spans="1:12" x14ac:dyDescent="0.25">
      <c r="A4" s="241" t="s">
        <v>11</v>
      </c>
      <c r="B4" s="187">
        <v>1</v>
      </c>
      <c r="C4" s="252"/>
      <c r="D4" s="192"/>
      <c r="E4" s="186"/>
      <c r="F4" s="243"/>
      <c r="G4" s="295"/>
      <c r="H4" s="243"/>
      <c r="I4" s="243"/>
      <c r="J4" s="243"/>
      <c r="K4" s="259" t="s">
        <v>12</v>
      </c>
      <c r="L4" s="256"/>
    </row>
    <row r="5" spans="1:12" x14ac:dyDescent="0.25">
      <c r="A5" s="240" t="s">
        <v>173</v>
      </c>
      <c r="B5" s="185"/>
      <c r="C5" s="200"/>
      <c r="D5" s="169"/>
      <c r="E5" s="269"/>
      <c r="F5" s="269"/>
      <c r="G5" s="269"/>
      <c r="H5" s="269"/>
      <c r="I5" s="269"/>
      <c r="J5" s="269"/>
      <c r="K5" s="269"/>
      <c r="L5" s="184"/>
    </row>
    <row r="6" spans="1:12" x14ac:dyDescent="0.25">
      <c r="A6" s="245" t="s">
        <v>174</v>
      </c>
      <c r="B6" s="251"/>
      <c r="C6" s="263"/>
      <c r="D6" s="239"/>
      <c r="E6" s="199"/>
      <c r="F6" s="199"/>
      <c r="G6" s="199"/>
      <c r="H6" s="199"/>
      <c r="I6" s="199"/>
      <c r="J6" s="199"/>
      <c r="K6" s="199"/>
      <c r="L6" s="182"/>
    </row>
    <row r="7" spans="1:12" x14ac:dyDescent="0.25">
      <c r="A7" s="244" t="s">
        <v>175</v>
      </c>
      <c r="B7" s="251"/>
      <c r="C7" s="265" t="s">
        <v>176</v>
      </c>
      <c r="D7" s="685">
        <v>9594232</v>
      </c>
      <c r="E7" s="422">
        <v>962839.5</v>
      </c>
      <c r="F7" s="422">
        <v>1318439.1300000001</v>
      </c>
      <c r="G7" s="422">
        <v>441258</v>
      </c>
      <c r="H7" s="266">
        <f t="shared" ref="H7:H13" si="0">SUM(E7:G7)</f>
        <v>2722536.63</v>
      </c>
      <c r="I7" s="266">
        <f>+D7/12*6</f>
        <v>4797116</v>
      </c>
      <c r="J7" s="242">
        <f t="shared" ref="J7:J17" si="1">H7-I7</f>
        <v>-2074579.37</v>
      </c>
      <c r="K7" s="254">
        <f>IF(J7=0,"",J7/I7)</f>
        <v>-0.43246387412770509</v>
      </c>
      <c r="L7" s="267">
        <f>D7</f>
        <v>9594232</v>
      </c>
    </row>
    <row r="8" spans="1:12" x14ac:dyDescent="0.25">
      <c r="A8" s="244" t="s">
        <v>420</v>
      </c>
      <c r="B8" s="417"/>
      <c r="C8" s="367"/>
      <c r="D8" s="688">
        <v>24161697</v>
      </c>
      <c r="E8" s="422">
        <v>1317541</v>
      </c>
      <c r="F8" s="422">
        <v>1693305</v>
      </c>
      <c r="G8" s="422">
        <v>1773501</v>
      </c>
      <c r="H8" s="422">
        <f t="shared" si="0"/>
        <v>4784347</v>
      </c>
      <c r="I8" s="422">
        <f t="shared" ref="I8:I13" si="2">+D8/12*6</f>
        <v>12080848.5</v>
      </c>
      <c r="J8" s="412">
        <f t="shared" si="1"/>
        <v>-7296501.5</v>
      </c>
      <c r="K8" s="254">
        <f t="shared" ref="K8:K12" si="3">IF(J8=0,"",J8/I8)</f>
        <v>-0.60397260175889134</v>
      </c>
      <c r="L8" s="369">
        <f t="shared" ref="L8:L12" si="4">D8</f>
        <v>24161697</v>
      </c>
    </row>
    <row r="9" spans="1:12" x14ac:dyDescent="0.25">
      <c r="A9" s="244" t="s">
        <v>421</v>
      </c>
      <c r="B9" s="417"/>
      <c r="C9" s="367"/>
      <c r="D9" s="688">
        <v>3647578.25</v>
      </c>
      <c r="E9" s="422">
        <v>492624</v>
      </c>
      <c r="F9" s="422">
        <v>371917</v>
      </c>
      <c r="G9" s="422">
        <v>70163</v>
      </c>
      <c r="H9" s="422">
        <f t="shared" si="0"/>
        <v>934704</v>
      </c>
      <c r="I9" s="422">
        <f t="shared" si="2"/>
        <v>1823789.125</v>
      </c>
      <c r="J9" s="412">
        <f t="shared" si="1"/>
        <v>-889085.125</v>
      </c>
      <c r="K9" s="254">
        <f t="shared" si="3"/>
        <v>-0.48749338002550047</v>
      </c>
      <c r="L9" s="369">
        <f t="shared" si="4"/>
        <v>3647578.25</v>
      </c>
    </row>
    <row r="10" spans="1:12" x14ac:dyDescent="0.25">
      <c r="A10" s="244" t="s">
        <v>177</v>
      </c>
      <c r="B10" s="251"/>
      <c r="C10" s="265"/>
      <c r="D10" s="685">
        <v>62840000</v>
      </c>
      <c r="E10" s="422">
        <v>0</v>
      </c>
      <c r="F10" s="422">
        <v>450000</v>
      </c>
      <c r="G10" s="422">
        <v>18191000</v>
      </c>
      <c r="H10" s="422">
        <f t="shared" ref="H10:H17" si="5">SUM(E10:G10)</f>
        <v>18641000</v>
      </c>
      <c r="I10" s="266">
        <f t="shared" si="2"/>
        <v>31420000</v>
      </c>
      <c r="J10" s="242">
        <f t="shared" si="1"/>
        <v>-12779000</v>
      </c>
      <c r="K10" s="254">
        <f t="shared" si="3"/>
        <v>-0.40671546785486951</v>
      </c>
      <c r="L10" s="267">
        <f t="shared" si="4"/>
        <v>62840000</v>
      </c>
    </row>
    <row r="11" spans="1:12" x14ac:dyDescent="0.25">
      <c r="A11" s="244" t="s">
        <v>178</v>
      </c>
      <c r="B11" s="251"/>
      <c r="C11" s="265"/>
      <c r="D11" s="685">
        <v>47530000</v>
      </c>
      <c r="E11" s="422">
        <v>0</v>
      </c>
      <c r="F11" s="266">
        <v>2462970.91</v>
      </c>
      <c r="G11" s="422">
        <v>0</v>
      </c>
      <c r="H11" s="422">
        <f t="shared" si="0"/>
        <v>2462970.91</v>
      </c>
      <c r="I11" s="266">
        <f t="shared" si="2"/>
        <v>23765000</v>
      </c>
      <c r="J11" s="242">
        <f t="shared" si="1"/>
        <v>-21302029.09</v>
      </c>
      <c r="K11" s="254">
        <f t="shared" si="3"/>
        <v>-0.89636141763096988</v>
      </c>
      <c r="L11" s="267">
        <f t="shared" si="4"/>
        <v>47530000</v>
      </c>
    </row>
    <row r="12" spans="1:12" x14ac:dyDescent="0.25">
      <c r="A12" s="244" t="s">
        <v>179</v>
      </c>
      <c r="B12" s="251"/>
      <c r="C12" s="265"/>
      <c r="D12" s="685">
        <v>9128882</v>
      </c>
      <c r="E12" s="266">
        <v>0</v>
      </c>
      <c r="F12" s="266">
        <v>0</v>
      </c>
      <c r="G12" s="422">
        <v>0</v>
      </c>
      <c r="H12" s="422">
        <f t="shared" si="0"/>
        <v>0</v>
      </c>
      <c r="I12" s="422">
        <f t="shared" si="2"/>
        <v>4564441</v>
      </c>
      <c r="J12" s="242">
        <f t="shared" si="1"/>
        <v>-4564441</v>
      </c>
      <c r="K12" s="254">
        <f t="shared" si="3"/>
        <v>-1</v>
      </c>
      <c r="L12" s="267">
        <f t="shared" si="4"/>
        <v>9128882</v>
      </c>
    </row>
    <row r="13" spans="1:12" x14ac:dyDescent="0.25">
      <c r="A13" s="244" t="s">
        <v>180</v>
      </c>
      <c r="B13" s="251"/>
      <c r="C13" s="265"/>
      <c r="D13" s="685">
        <v>0</v>
      </c>
      <c r="E13" s="266">
        <v>0</v>
      </c>
      <c r="F13" s="266">
        <v>0</v>
      </c>
      <c r="G13" s="422">
        <v>0</v>
      </c>
      <c r="H13" s="422">
        <f t="shared" si="0"/>
        <v>0</v>
      </c>
      <c r="I13" s="422">
        <f t="shared" si="2"/>
        <v>0</v>
      </c>
      <c r="J13" s="242">
        <f t="shared" si="1"/>
        <v>0</v>
      </c>
      <c r="K13" s="254" t="s">
        <v>16</v>
      </c>
      <c r="L13" s="267">
        <f t="shared" ref="L10:L17" si="6">D13</f>
        <v>0</v>
      </c>
    </row>
    <row r="14" spans="1:12" x14ac:dyDescent="0.25">
      <c r="A14" s="245" t="s">
        <v>181</v>
      </c>
      <c r="B14" s="251"/>
      <c r="C14" s="264"/>
      <c r="D14" s="685"/>
      <c r="E14" s="242"/>
      <c r="F14" s="242"/>
      <c r="G14" s="412"/>
      <c r="H14" s="422"/>
      <c r="I14" s="422">
        <f t="shared" ref="I10:I17" si="7">+D14/12*3</f>
        <v>0</v>
      </c>
      <c r="J14" s="242">
        <f t="shared" si="1"/>
        <v>0</v>
      </c>
      <c r="K14" s="254"/>
      <c r="L14" s="262">
        <f t="shared" si="6"/>
        <v>0</v>
      </c>
    </row>
    <row r="15" spans="1:12" x14ac:dyDescent="0.25">
      <c r="A15" s="244" t="s">
        <v>182</v>
      </c>
      <c r="B15" s="251"/>
      <c r="C15" s="265"/>
      <c r="D15" s="685">
        <v>-129620757.45254649</v>
      </c>
      <c r="E15" s="422">
        <v>-7513858</v>
      </c>
      <c r="F15" s="422">
        <v>-5850242</v>
      </c>
      <c r="G15" s="691">
        <v>-13607955</v>
      </c>
      <c r="H15" s="422">
        <f t="shared" si="5"/>
        <v>-26972055</v>
      </c>
      <c r="I15" s="422">
        <f>+D15/12*6</f>
        <v>-64810378.726273239</v>
      </c>
      <c r="J15" s="242">
        <f t="shared" si="1"/>
        <v>37838323.726273239</v>
      </c>
      <c r="K15" s="254">
        <f>IF(J15=0,"",J15/I15)</f>
        <v>-0.58383123922301816</v>
      </c>
      <c r="L15" s="267">
        <f t="shared" si="6"/>
        <v>-129620757.45254649</v>
      </c>
    </row>
    <row r="16" spans="1:12" x14ac:dyDescent="0.25">
      <c r="A16" s="244" t="s">
        <v>38</v>
      </c>
      <c r="B16" s="251"/>
      <c r="C16" s="265"/>
      <c r="D16" s="685">
        <v>-634347</v>
      </c>
      <c r="E16" s="422">
        <v>-107147.4</v>
      </c>
      <c r="F16" s="422">
        <v>-4228</v>
      </c>
      <c r="G16" s="422">
        <v>-105748</v>
      </c>
      <c r="H16" s="422">
        <f t="shared" si="5"/>
        <v>-217123.4</v>
      </c>
      <c r="I16" s="422">
        <f>+D16/12*6</f>
        <v>-317173.5</v>
      </c>
      <c r="J16" s="242">
        <f t="shared" si="1"/>
        <v>100050.1</v>
      </c>
      <c r="K16" s="254">
        <f>IF(J16=0,"",J16/I16)</f>
        <v>-0.31544280969248695</v>
      </c>
      <c r="L16" s="267">
        <f t="shared" si="6"/>
        <v>-634347</v>
      </c>
    </row>
    <row r="17" spans="1:13" x14ac:dyDescent="0.25">
      <c r="A17" s="244" t="s">
        <v>183</v>
      </c>
      <c r="B17" s="251"/>
      <c r="C17" s="265"/>
      <c r="D17" s="685">
        <v>0</v>
      </c>
      <c r="E17" s="266">
        <v>0</v>
      </c>
      <c r="F17" s="266">
        <v>0</v>
      </c>
      <c r="G17" s="422">
        <v>0</v>
      </c>
      <c r="H17" s="422">
        <f t="shared" si="5"/>
        <v>0</v>
      </c>
      <c r="I17" s="422">
        <f t="shared" si="7"/>
        <v>0</v>
      </c>
      <c r="J17" s="242">
        <f t="shared" si="1"/>
        <v>0</v>
      </c>
      <c r="K17" s="254" t="s">
        <v>16</v>
      </c>
      <c r="L17" s="267">
        <f t="shared" si="6"/>
        <v>0</v>
      </c>
    </row>
    <row r="18" spans="1:13" x14ac:dyDescent="0.25">
      <c r="A18" s="188" t="s">
        <v>184</v>
      </c>
      <c r="B18" s="118"/>
      <c r="C18" s="626">
        <v>0</v>
      </c>
      <c r="D18" s="624">
        <f>SUM(D7:D17)</f>
        <v>26647284.797453508</v>
      </c>
      <c r="E18" s="624">
        <f t="shared" ref="E18:L18" si="8">SUM(E7:E17)</f>
        <v>-4848000.9000000004</v>
      </c>
      <c r="F18" s="624">
        <f t="shared" si="8"/>
        <v>442162.04000000004</v>
      </c>
      <c r="G18" s="624">
        <f t="shared" si="8"/>
        <v>6762219</v>
      </c>
      <c r="H18" s="624">
        <f t="shared" si="8"/>
        <v>2356380.1399999992</v>
      </c>
      <c r="I18" s="624">
        <f t="shared" si="8"/>
        <v>13323642.398726761</v>
      </c>
      <c r="J18" s="624">
        <f t="shared" si="8"/>
        <v>-10967262.258726763</v>
      </c>
      <c r="K18" s="625">
        <f>IF(J18=0,"",J18/I18)</f>
        <v>-0.82314294623929718</v>
      </c>
      <c r="L18" s="627">
        <f t="shared" si="8"/>
        <v>26647284.797453508</v>
      </c>
      <c r="M18" s="545"/>
    </row>
    <row r="19" spans="1:13" x14ac:dyDescent="0.25">
      <c r="A19" s="246"/>
      <c r="B19" s="251"/>
      <c r="C19" s="264"/>
      <c r="D19" s="193"/>
      <c r="E19" s="242"/>
      <c r="F19" s="242"/>
      <c r="G19" s="412"/>
      <c r="H19" s="242"/>
      <c r="I19" s="242"/>
      <c r="J19" s="242"/>
      <c r="K19" s="242"/>
      <c r="L19" s="262"/>
    </row>
    <row r="20" spans="1:13" x14ac:dyDescent="0.25">
      <c r="A20" s="245" t="s">
        <v>185</v>
      </c>
      <c r="B20" s="251"/>
      <c r="C20" s="264"/>
      <c r="D20" s="193"/>
      <c r="E20" s="242"/>
      <c r="F20" s="242"/>
      <c r="G20" s="412"/>
      <c r="H20" s="242"/>
      <c r="I20" s="242"/>
      <c r="J20" s="242"/>
      <c r="K20" s="242"/>
      <c r="L20" s="262"/>
    </row>
    <row r="21" spans="1:13" x14ac:dyDescent="0.25">
      <c r="A21" s="245" t="s">
        <v>174</v>
      </c>
      <c r="B21" s="251"/>
      <c r="C21" s="264"/>
      <c r="D21" s="193"/>
      <c r="E21" s="242"/>
      <c r="F21" s="242"/>
      <c r="G21" s="412"/>
      <c r="H21" s="242"/>
      <c r="I21" s="242"/>
      <c r="J21" s="242"/>
      <c r="K21" s="242"/>
      <c r="L21" s="262"/>
    </row>
    <row r="22" spans="1:13" x14ac:dyDescent="0.25">
      <c r="A22" s="244" t="s">
        <v>186</v>
      </c>
      <c r="B22" s="251"/>
      <c r="C22" s="265"/>
      <c r="D22" s="268">
        <v>0</v>
      </c>
      <c r="E22" s="266">
        <v>0</v>
      </c>
      <c r="F22" s="266">
        <v>0</v>
      </c>
      <c r="G22" s="422">
        <v>0</v>
      </c>
      <c r="H22" s="422">
        <f>SUM(E22:G22)</f>
        <v>0</v>
      </c>
      <c r="I22" s="266">
        <v>0</v>
      </c>
      <c r="J22" s="242">
        <v>0</v>
      </c>
      <c r="K22" s="254" t="s">
        <v>16</v>
      </c>
      <c r="L22" s="267">
        <v>0</v>
      </c>
    </row>
    <row r="23" spans="1:13" x14ac:dyDescent="0.25">
      <c r="A23" s="244" t="s">
        <v>187</v>
      </c>
      <c r="B23" s="251"/>
      <c r="C23" s="265"/>
      <c r="D23" s="268">
        <v>0</v>
      </c>
      <c r="E23" s="266">
        <v>0</v>
      </c>
      <c r="F23" s="266">
        <v>0</v>
      </c>
      <c r="G23" s="422">
        <v>0</v>
      </c>
      <c r="H23" s="422">
        <f>SUM(E23:G23)</f>
        <v>0</v>
      </c>
      <c r="I23" s="266">
        <v>0</v>
      </c>
      <c r="J23" s="242">
        <v>0</v>
      </c>
      <c r="K23" s="254" t="s">
        <v>16</v>
      </c>
      <c r="L23" s="267">
        <v>0</v>
      </c>
    </row>
    <row r="24" spans="1:13" x14ac:dyDescent="0.25">
      <c r="A24" s="244" t="s">
        <v>188</v>
      </c>
      <c r="B24" s="189"/>
      <c r="C24" s="265"/>
      <c r="D24" s="268">
        <v>0</v>
      </c>
      <c r="E24" s="266">
        <v>0</v>
      </c>
      <c r="F24" s="266">
        <v>0</v>
      </c>
      <c r="G24" s="422">
        <v>0</v>
      </c>
      <c r="H24" s="422">
        <f>SUM(E24:G24)</f>
        <v>0</v>
      </c>
      <c r="I24" s="266">
        <v>0</v>
      </c>
      <c r="J24" s="242">
        <v>0</v>
      </c>
      <c r="K24" s="254" t="s">
        <v>16</v>
      </c>
      <c r="L24" s="267">
        <v>0</v>
      </c>
    </row>
    <row r="25" spans="1:13" x14ac:dyDescent="0.25">
      <c r="A25" s="244" t="s">
        <v>189</v>
      </c>
      <c r="B25" s="251"/>
      <c r="C25" s="265"/>
      <c r="D25" s="268">
        <v>0</v>
      </c>
      <c r="E25" s="266">
        <v>0</v>
      </c>
      <c r="F25" s="266">
        <v>0</v>
      </c>
      <c r="G25" s="422">
        <v>0</v>
      </c>
      <c r="H25" s="422">
        <f>SUM(E25:G25)</f>
        <v>0</v>
      </c>
      <c r="I25" s="266">
        <v>0</v>
      </c>
      <c r="J25" s="242">
        <v>0</v>
      </c>
      <c r="K25" s="254" t="s">
        <v>16</v>
      </c>
      <c r="L25" s="267">
        <v>0</v>
      </c>
    </row>
    <row r="26" spans="1:13" x14ac:dyDescent="0.25">
      <c r="A26" s="245" t="s">
        <v>181</v>
      </c>
      <c r="B26" s="251"/>
      <c r="C26" s="264"/>
      <c r="D26" s="193"/>
      <c r="E26" s="242"/>
      <c r="F26" s="242"/>
      <c r="G26" s="412"/>
      <c r="H26" s="242"/>
      <c r="I26" s="242"/>
      <c r="J26" s="242"/>
      <c r="K26" s="242"/>
      <c r="L26" s="262"/>
    </row>
    <row r="27" spans="1:13" x14ac:dyDescent="0.25">
      <c r="A27" s="244" t="s">
        <v>190</v>
      </c>
      <c r="B27" s="251"/>
      <c r="C27" s="265">
        <v>0</v>
      </c>
      <c r="D27" s="686">
        <v>-47529977.740000002</v>
      </c>
      <c r="E27" s="422">
        <v>0</v>
      </c>
      <c r="F27" s="422">
        <v>-1928709</v>
      </c>
      <c r="G27" s="422">
        <v>-6280576.0800000001</v>
      </c>
      <c r="H27" s="422">
        <f>SUM(E27:G27)</f>
        <v>-8209285.0800000001</v>
      </c>
      <c r="I27" s="266">
        <f>+D27/12*3</f>
        <v>-11882494.435000001</v>
      </c>
      <c r="J27" s="242">
        <f>I27-H27</f>
        <v>-3673209.3550000004</v>
      </c>
      <c r="K27" s="254">
        <f>IF(J27=0,"",J27/I27)</f>
        <v>0.30912779930959</v>
      </c>
      <c r="L27" s="267">
        <f>D27</f>
        <v>-47529977.740000002</v>
      </c>
    </row>
    <row r="28" spans="1:13" x14ac:dyDescent="0.25">
      <c r="A28" s="188" t="s">
        <v>191</v>
      </c>
      <c r="B28" s="118"/>
      <c r="C28" s="612">
        <v>0</v>
      </c>
      <c r="D28" s="624">
        <f>SUM(D22:D27)</f>
        <v>-47529977.740000002</v>
      </c>
      <c r="E28" s="624">
        <f t="shared" ref="E28:L28" si="9">SUM(E22:E27)</f>
        <v>0</v>
      </c>
      <c r="F28" s="624">
        <f t="shared" si="9"/>
        <v>-1928709</v>
      </c>
      <c r="G28" s="624">
        <f t="shared" si="9"/>
        <v>-6280576.0800000001</v>
      </c>
      <c r="H28" s="624">
        <f t="shared" si="9"/>
        <v>-8209285.0800000001</v>
      </c>
      <c r="I28" s="624">
        <f t="shared" si="9"/>
        <v>-11882494.435000001</v>
      </c>
      <c r="J28" s="624">
        <f t="shared" si="9"/>
        <v>-3673209.3550000004</v>
      </c>
      <c r="K28" s="625">
        <f>IF(J28=0,"",J28/I28)</f>
        <v>0.30912779930959</v>
      </c>
      <c r="L28" s="626">
        <f t="shared" si="9"/>
        <v>-47529977.740000002</v>
      </c>
    </row>
    <row r="29" spans="1:13" x14ac:dyDescent="0.25">
      <c r="A29" s="246"/>
      <c r="B29" s="251"/>
      <c r="C29" s="264"/>
      <c r="D29" s="193"/>
      <c r="E29" s="242"/>
      <c r="F29" s="242"/>
      <c r="G29" s="412"/>
      <c r="H29" s="242"/>
      <c r="I29" s="242"/>
      <c r="J29" s="242"/>
      <c r="K29" s="242"/>
      <c r="L29" s="262"/>
    </row>
    <row r="30" spans="1:13" x14ac:dyDescent="0.25">
      <c r="A30" s="245" t="s">
        <v>192</v>
      </c>
      <c r="B30" s="251"/>
      <c r="C30" s="264"/>
      <c r="D30" s="193"/>
      <c r="E30" s="242"/>
      <c r="F30" s="242"/>
      <c r="G30" s="412"/>
      <c r="H30" s="242"/>
      <c r="I30" s="242"/>
      <c r="J30" s="242"/>
      <c r="K30" s="242"/>
      <c r="L30" s="262"/>
    </row>
    <row r="31" spans="1:13" x14ac:dyDescent="0.25">
      <c r="A31" s="245" t="s">
        <v>174</v>
      </c>
      <c r="B31" s="251"/>
      <c r="C31" s="264"/>
      <c r="D31" s="193"/>
      <c r="E31" s="242"/>
      <c r="F31" s="242"/>
      <c r="G31" s="412"/>
      <c r="H31" s="242"/>
      <c r="I31" s="242"/>
      <c r="J31" s="242"/>
      <c r="K31" s="242"/>
      <c r="L31" s="262"/>
    </row>
    <row r="32" spans="1:13" x14ac:dyDescent="0.25">
      <c r="A32" s="244" t="s">
        <v>193</v>
      </c>
      <c r="B32" s="251"/>
      <c r="C32" s="265"/>
      <c r="D32" s="268">
        <v>0</v>
      </c>
      <c r="E32" s="266">
        <v>0</v>
      </c>
      <c r="F32" s="266">
        <v>0</v>
      </c>
      <c r="G32" s="422">
        <v>0</v>
      </c>
      <c r="H32" s="422">
        <f>SUM(E32:G32)</f>
        <v>0</v>
      </c>
      <c r="I32" s="266">
        <v>0</v>
      </c>
      <c r="J32" s="242">
        <v>0</v>
      </c>
      <c r="K32" s="254" t="s">
        <v>16</v>
      </c>
      <c r="L32" s="267">
        <v>0</v>
      </c>
    </row>
    <row r="33" spans="1:13" x14ac:dyDescent="0.25">
      <c r="A33" s="244" t="s">
        <v>194</v>
      </c>
      <c r="B33" s="251"/>
      <c r="C33" s="265"/>
      <c r="D33" s="268">
        <v>0</v>
      </c>
      <c r="E33" s="266">
        <v>0</v>
      </c>
      <c r="F33" s="266">
        <v>0</v>
      </c>
      <c r="G33" s="422">
        <v>0</v>
      </c>
      <c r="H33" s="422">
        <f>SUM(E33:G33)</f>
        <v>0</v>
      </c>
      <c r="I33" s="266">
        <v>0</v>
      </c>
      <c r="J33" s="242">
        <v>0</v>
      </c>
      <c r="K33" s="254" t="s">
        <v>16</v>
      </c>
      <c r="L33" s="267">
        <v>0</v>
      </c>
    </row>
    <row r="34" spans="1:13" x14ac:dyDescent="0.25">
      <c r="A34" s="244" t="s">
        <v>195</v>
      </c>
      <c r="B34" s="251"/>
      <c r="C34" s="265"/>
      <c r="D34" s="268">
        <v>0</v>
      </c>
      <c r="E34" s="266">
        <v>0</v>
      </c>
      <c r="F34" s="266">
        <v>0</v>
      </c>
      <c r="G34" s="422">
        <v>0</v>
      </c>
      <c r="H34" s="422">
        <f>SUM(E34:G34)</f>
        <v>0</v>
      </c>
      <c r="I34" s="266">
        <v>0</v>
      </c>
      <c r="J34" s="242">
        <v>0</v>
      </c>
      <c r="K34" s="254" t="s">
        <v>16</v>
      </c>
      <c r="L34" s="267">
        <v>0</v>
      </c>
    </row>
    <row r="35" spans="1:13" x14ac:dyDescent="0.25">
      <c r="A35" s="245" t="s">
        <v>181</v>
      </c>
      <c r="B35" s="251"/>
      <c r="C35" s="264"/>
      <c r="D35" s="193"/>
      <c r="E35" s="242"/>
      <c r="F35" s="242"/>
      <c r="G35" s="412"/>
      <c r="H35" s="242"/>
      <c r="I35" s="242"/>
      <c r="J35" s="242"/>
      <c r="K35" s="254" t="s">
        <v>16</v>
      </c>
      <c r="L35" s="262"/>
    </row>
    <row r="36" spans="1:13" x14ac:dyDescent="0.25">
      <c r="A36" s="244" t="s">
        <v>196</v>
      </c>
      <c r="B36" s="251"/>
      <c r="C36" s="265"/>
      <c r="D36" s="686">
        <v>-920142.94</v>
      </c>
      <c r="E36" s="266">
        <v>-102426</v>
      </c>
      <c r="F36" s="266">
        <v>0</v>
      </c>
      <c r="G36" s="422">
        <v>0</v>
      </c>
      <c r="H36" s="422">
        <f>SUM(E36:G36)</f>
        <v>-102426</v>
      </c>
      <c r="I36" s="266">
        <v>0</v>
      </c>
      <c r="J36" s="412">
        <f>I36-H36</f>
        <v>102426</v>
      </c>
      <c r="K36" s="254">
        <v>0</v>
      </c>
      <c r="L36" s="267">
        <f>D36</f>
        <v>-920142.94</v>
      </c>
    </row>
    <row r="37" spans="1:13" x14ac:dyDescent="0.25">
      <c r="A37" s="188" t="s">
        <v>197</v>
      </c>
      <c r="B37" s="118"/>
      <c r="C37" s="171">
        <f>SUM(C32:C36)</f>
        <v>0</v>
      </c>
      <c r="D37" s="171">
        <f>SUM(D32:D36)</f>
        <v>-920142.94</v>
      </c>
      <c r="E37" s="171">
        <f t="shared" ref="E37:L37" si="10">SUM(E32:E36)</f>
        <v>-102426</v>
      </c>
      <c r="F37" s="171">
        <f t="shared" si="10"/>
        <v>0</v>
      </c>
      <c r="G37" s="171">
        <f t="shared" si="10"/>
        <v>0</v>
      </c>
      <c r="H37" s="171">
        <f t="shared" si="10"/>
        <v>-102426</v>
      </c>
      <c r="I37" s="171">
        <f t="shared" si="10"/>
        <v>0</v>
      </c>
      <c r="J37" s="171">
        <f t="shared" si="10"/>
        <v>102426</v>
      </c>
      <c r="K37" s="171">
        <f t="shared" si="10"/>
        <v>0</v>
      </c>
      <c r="L37" s="550">
        <f t="shared" si="10"/>
        <v>-920142.94</v>
      </c>
      <c r="M37" s="545"/>
    </row>
    <row r="38" spans="1:13" x14ac:dyDescent="0.25">
      <c r="A38" s="246"/>
      <c r="B38" s="251"/>
      <c r="C38" s="264"/>
      <c r="D38" s="193"/>
      <c r="E38" s="242"/>
      <c r="F38" s="242"/>
      <c r="G38" s="412"/>
      <c r="H38" s="242"/>
      <c r="I38" s="242"/>
      <c r="J38" s="242"/>
      <c r="K38" s="242"/>
      <c r="L38" s="262"/>
    </row>
    <row r="39" spans="1:13" x14ac:dyDescent="0.25">
      <c r="A39" s="245" t="s">
        <v>198</v>
      </c>
      <c r="B39" s="251"/>
      <c r="C39" s="628">
        <v>0</v>
      </c>
      <c r="D39" s="629">
        <f>+D18+D28+D37</f>
        <v>-21802835.882546496</v>
      </c>
      <c r="E39" s="630">
        <f t="shared" ref="E39:L39" si="11">+E18+E28+E37</f>
        <v>-4950426.9000000004</v>
      </c>
      <c r="F39" s="630">
        <f t="shared" si="11"/>
        <v>-1486546.96</v>
      </c>
      <c r="G39" s="630">
        <f t="shared" si="11"/>
        <v>481642.91999999993</v>
      </c>
      <c r="H39" s="630">
        <f>+H18+H28+H37</f>
        <v>-5955330.9400000013</v>
      </c>
      <c r="I39" s="630">
        <f>+I18+I28+I37</f>
        <v>1441147.9637267608</v>
      </c>
      <c r="J39" s="631">
        <f>I39-H39</f>
        <v>7396478.9037267622</v>
      </c>
      <c r="K39" s="797">
        <f>IF(J39=0,"",J39/I39)</f>
        <v>5.1323521872103353</v>
      </c>
      <c r="L39" s="630">
        <f>D39</f>
        <v>-21802835.882546496</v>
      </c>
      <c r="M39" s="545"/>
    </row>
    <row r="40" spans="1:13" x14ac:dyDescent="0.25">
      <c r="A40" s="244" t="s">
        <v>199</v>
      </c>
      <c r="B40" s="251"/>
      <c r="C40" s="265"/>
      <c r="D40" s="686">
        <v>-3224699.2199999988</v>
      </c>
      <c r="E40" s="422">
        <v>16079943</v>
      </c>
      <c r="F40" s="242">
        <f>E41</f>
        <v>11129516.1</v>
      </c>
      <c r="G40" s="412">
        <f>+F41</f>
        <v>9642969.1400000006</v>
      </c>
      <c r="H40" s="266">
        <f>G41</f>
        <v>10124612.060000001</v>
      </c>
      <c r="I40" s="242">
        <v>1627</v>
      </c>
      <c r="J40" s="242">
        <f t="shared" ref="J40:J41" si="12">I40-H40</f>
        <v>-10122985.060000001</v>
      </c>
      <c r="K40" s="798">
        <f t="shared" ref="K40:K41" si="13">IF(J40=0,"",J40/I40)</f>
        <v>-6221.8715795943453</v>
      </c>
      <c r="L40" s="262">
        <f t="shared" ref="L40:L41" si="14">D40</f>
        <v>-3224699.2199999988</v>
      </c>
    </row>
    <row r="41" spans="1:13" x14ac:dyDescent="0.25">
      <c r="A41" s="261" t="s">
        <v>200</v>
      </c>
      <c r="B41" s="187"/>
      <c r="C41" s="238">
        <v>0</v>
      </c>
      <c r="D41" s="170">
        <f>+D39+D40</f>
        <v>-25027535.102546494</v>
      </c>
      <c r="E41" s="194">
        <f>+E40+E39</f>
        <v>11129516.1</v>
      </c>
      <c r="F41" s="194">
        <f>+F40+F39</f>
        <v>9642969.1400000006</v>
      </c>
      <c r="G41" s="194">
        <f>+G40+G39</f>
        <v>10124612.060000001</v>
      </c>
      <c r="H41" s="194">
        <f>+H40+H39</f>
        <v>4169281.1199999992</v>
      </c>
      <c r="I41" s="194">
        <v>268075.68166666944</v>
      </c>
      <c r="J41" s="194">
        <f t="shared" si="12"/>
        <v>-3901205.4383333297</v>
      </c>
      <c r="K41" s="799">
        <f t="shared" si="13"/>
        <v>-14.552627131558189</v>
      </c>
      <c r="L41" s="237">
        <f t="shared" si="14"/>
        <v>-25027535.102546494</v>
      </c>
    </row>
  </sheetData>
  <mergeCells count="3">
    <mergeCell ref="A2:A3"/>
    <mergeCell ref="B2:B3"/>
    <mergeCell ref="A1:L1"/>
  </mergeCells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E40"/>
  <sheetViews>
    <sheetView workbookViewId="0">
      <selection activeCell="A2" sqref="A2:A3"/>
    </sheetView>
  </sheetViews>
  <sheetFormatPr defaultRowHeight="15" x14ac:dyDescent="0.25"/>
  <cols>
    <col min="2" max="2" width="18.140625" bestFit="1" customWidth="1"/>
    <col min="3" max="3" width="6.5703125" bestFit="1" customWidth="1"/>
    <col min="4" max="4" width="22.140625" bestFit="1" customWidth="1"/>
    <col min="5" max="5" width="26" bestFit="1" customWidth="1"/>
  </cols>
  <sheetData>
    <row r="1" spans="1:5" x14ac:dyDescent="0.25">
      <c r="A1" s="770" t="s">
        <v>376</v>
      </c>
      <c r="B1" s="770"/>
      <c r="C1" s="770"/>
      <c r="D1" s="770"/>
      <c r="E1" s="770"/>
    </row>
    <row r="2" spans="1:5" x14ac:dyDescent="0.25">
      <c r="A2" s="767" t="s">
        <v>1</v>
      </c>
      <c r="B2" s="763" t="s">
        <v>0</v>
      </c>
      <c r="C2" s="285"/>
      <c r="D2" s="285"/>
      <c r="E2" s="286"/>
    </row>
    <row r="3" spans="1:5" x14ac:dyDescent="0.25">
      <c r="A3" s="768"/>
      <c r="B3" s="764"/>
      <c r="C3" s="279" t="s">
        <v>201</v>
      </c>
      <c r="D3" s="279" t="s">
        <v>202</v>
      </c>
      <c r="E3" s="274" t="s">
        <v>203</v>
      </c>
    </row>
    <row r="4" spans="1:5" x14ac:dyDescent="0.25">
      <c r="A4" s="277"/>
      <c r="B4" s="276" t="s">
        <v>11</v>
      </c>
      <c r="C4" s="284"/>
      <c r="D4" s="278"/>
      <c r="E4" s="275"/>
    </row>
    <row r="5" spans="1:5" x14ac:dyDescent="0.25">
      <c r="A5" s="283">
        <v>1</v>
      </c>
      <c r="B5" s="282" t="s">
        <v>13</v>
      </c>
      <c r="C5" s="281"/>
      <c r="D5" s="281"/>
      <c r="E5" s="281"/>
    </row>
    <row r="6" spans="1:5" x14ac:dyDescent="0.25">
      <c r="A6" s="280"/>
      <c r="B6" s="291"/>
      <c r="C6" s="290"/>
      <c r="D6" s="291"/>
      <c r="E6" s="291"/>
    </row>
    <row r="7" spans="1:5" x14ac:dyDescent="0.25">
      <c r="A7" s="280"/>
      <c r="B7" s="291"/>
      <c r="C7" s="290"/>
      <c r="D7" s="291"/>
      <c r="E7" s="291"/>
    </row>
    <row r="8" spans="1:5" x14ac:dyDescent="0.25">
      <c r="A8" s="280"/>
      <c r="B8" s="291"/>
      <c r="C8" s="290"/>
      <c r="D8" s="291"/>
      <c r="E8" s="291"/>
    </row>
    <row r="9" spans="1:5" x14ac:dyDescent="0.25">
      <c r="A9" s="280"/>
      <c r="B9" s="291"/>
      <c r="C9" s="290"/>
      <c r="D9" s="291"/>
      <c r="E9" s="291"/>
    </row>
    <row r="10" spans="1:5" x14ac:dyDescent="0.25">
      <c r="A10" s="280">
        <v>2</v>
      </c>
      <c r="B10" s="287" t="s">
        <v>33</v>
      </c>
      <c r="C10" s="288"/>
      <c r="D10" s="288"/>
      <c r="E10" s="288"/>
    </row>
    <row r="11" spans="1:5" x14ac:dyDescent="0.25">
      <c r="A11" s="280"/>
      <c r="B11" s="291"/>
      <c r="C11" s="290"/>
      <c r="D11" s="291"/>
      <c r="E11" s="291"/>
    </row>
    <row r="12" spans="1:5" x14ac:dyDescent="0.25">
      <c r="A12" s="280"/>
      <c r="B12" s="291"/>
      <c r="C12" s="290"/>
      <c r="D12" s="291"/>
      <c r="E12" s="291"/>
    </row>
    <row r="13" spans="1:5" x14ac:dyDescent="0.25">
      <c r="A13" s="280"/>
      <c r="B13" s="291"/>
      <c r="C13" s="290"/>
      <c r="D13" s="291"/>
      <c r="E13" s="291"/>
    </row>
    <row r="14" spans="1:5" x14ac:dyDescent="0.25">
      <c r="A14" s="280"/>
      <c r="B14" s="291"/>
      <c r="C14" s="290"/>
      <c r="D14" s="291"/>
      <c r="E14" s="291"/>
    </row>
    <row r="15" spans="1:5" x14ac:dyDescent="0.25">
      <c r="A15" s="280">
        <v>3</v>
      </c>
      <c r="B15" s="287" t="s">
        <v>204</v>
      </c>
      <c r="C15" s="288"/>
      <c r="D15" s="288"/>
      <c r="E15" s="288"/>
    </row>
    <row r="16" spans="1:5" x14ac:dyDescent="0.25">
      <c r="A16" s="280"/>
      <c r="B16" s="291"/>
      <c r="C16" s="290"/>
      <c r="D16" s="291"/>
      <c r="E16" s="291"/>
    </row>
    <row r="17" spans="1:5" x14ac:dyDescent="0.25">
      <c r="A17" s="280"/>
      <c r="B17" s="291"/>
      <c r="C17" s="290"/>
      <c r="D17" s="291"/>
      <c r="E17" s="291"/>
    </row>
    <row r="18" spans="1:5" x14ac:dyDescent="0.25">
      <c r="A18" s="280"/>
      <c r="B18" s="291"/>
      <c r="C18" s="290"/>
      <c r="D18" s="291"/>
      <c r="E18" s="291"/>
    </row>
    <row r="19" spans="1:5" x14ac:dyDescent="0.25">
      <c r="A19" s="280"/>
      <c r="B19" s="291"/>
      <c r="C19" s="290"/>
      <c r="D19" s="291"/>
      <c r="E19" s="291"/>
    </row>
    <row r="20" spans="1:5" x14ac:dyDescent="0.25">
      <c r="A20" s="280">
        <v>4</v>
      </c>
      <c r="B20" s="287" t="s">
        <v>205</v>
      </c>
      <c r="C20" s="288"/>
      <c r="D20" s="288"/>
      <c r="E20" s="288"/>
    </row>
    <row r="21" spans="1:5" x14ac:dyDescent="0.25">
      <c r="A21" s="280"/>
      <c r="B21" s="291"/>
      <c r="C21" s="290"/>
      <c r="D21" s="291"/>
      <c r="E21" s="291"/>
    </row>
    <row r="22" spans="1:5" x14ac:dyDescent="0.25">
      <c r="A22" s="280"/>
      <c r="B22" s="291"/>
      <c r="C22" s="290"/>
      <c r="D22" s="291"/>
      <c r="E22" s="291"/>
    </row>
    <row r="23" spans="1:5" x14ac:dyDescent="0.25">
      <c r="A23" s="280"/>
      <c r="B23" s="291"/>
      <c r="C23" s="290"/>
      <c r="D23" s="291"/>
      <c r="E23" s="291"/>
    </row>
    <row r="24" spans="1:5" x14ac:dyDescent="0.25">
      <c r="A24" s="280"/>
      <c r="B24" s="291"/>
      <c r="C24" s="290"/>
      <c r="D24" s="291"/>
      <c r="E24" s="291"/>
    </row>
    <row r="25" spans="1:5" x14ac:dyDescent="0.25">
      <c r="A25" s="280">
        <v>5</v>
      </c>
      <c r="B25" s="287" t="s">
        <v>206</v>
      </c>
      <c r="C25" s="288"/>
      <c r="D25" s="288"/>
      <c r="E25" s="288"/>
    </row>
    <row r="26" spans="1:5" x14ac:dyDescent="0.25">
      <c r="A26" s="280"/>
      <c r="B26" s="291"/>
      <c r="C26" s="290"/>
      <c r="D26" s="291"/>
      <c r="E26" s="291"/>
    </row>
    <row r="27" spans="1:5" x14ac:dyDescent="0.25">
      <c r="A27" s="280"/>
      <c r="B27" s="291"/>
      <c r="C27" s="290"/>
      <c r="D27" s="291"/>
      <c r="E27" s="291"/>
    </row>
    <row r="28" spans="1:5" x14ac:dyDescent="0.25">
      <c r="A28" s="280"/>
      <c r="B28" s="291"/>
      <c r="C28" s="290"/>
      <c r="D28" s="291"/>
      <c r="E28" s="291"/>
    </row>
    <row r="29" spans="1:5" x14ac:dyDescent="0.25">
      <c r="A29" s="280"/>
      <c r="B29" s="291"/>
      <c r="C29" s="290"/>
      <c r="D29" s="291"/>
      <c r="E29" s="291"/>
    </row>
    <row r="30" spans="1:5" x14ac:dyDescent="0.25">
      <c r="A30" s="280">
        <v>6</v>
      </c>
      <c r="B30" s="287" t="s">
        <v>207</v>
      </c>
      <c r="C30" s="289"/>
      <c r="D30" s="288"/>
      <c r="E30" s="288"/>
    </row>
    <row r="31" spans="1:5" x14ac:dyDescent="0.25">
      <c r="A31" s="280"/>
      <c r="B31" s="291"/>
      <c r="C31" s="290"/>
      <c r="D31" s="291"/>
      <c r="E31" s="291"/>
    </row>
    <row r="32" spans="1:5" x14ac:dyDescent="0.25">
      <c r="A32" s="280"/>
      <c r="B32" s="291"/>
      <c r="C32" s="290"/>
      <c r="D32" s="291"/>
      <c r="E32" s="291"/>
    </row>
    <row r="33" spans="1:5" x14ac:dyDescent="0.25">
      <c r="A33" s="280"/>
      <c r="B33" s="291"/>
      <c r="C33" s="290"/>
      <c r="D33" s="291"/>
      <c r="E33" s="291"/>
    </row>
    <row r="34" spans="1:5" x14ac:dyDescent="0.25">
      <c r="A34" s="280"/>
      <c r="B34" s="291"/>
      <c r="C34" s="290"/>
      <c r="D34" s="291"/>
      <c r="E34" s="291"/>
    </row>
    <row r="35" spans="1:5" x14ac:dyDescent="0.25">
      <c r="A35" s="280">
        <v>7</v>
      </c>
      <c r="B35" s="287" t="s">
        <v>208</v>
      </c>
      <c r="C35" s="289"/>
      <c r="D35" s="288"/>
      <c r="E35" s="288"/>
    </row>
    <row r="36" spans="1:5" x14ac:dyDescent="0.25">
      <c r="A36" s="280"/>
      <c r="B36" s="291"/>
      <c r="C36" s="290"/>
      <c r="D36" s="291"/>
      <c r="E36" s="291"/>
    </row>
    <row r="37" spans="1:5" x14ac:dyDescent="0.25">
      <c r="A37" s="280"/>
      <c r="B37" s="291"/>
      <c r="C37" s="290"/>
      <c r="D37" s="291"/>
      <c r="E37" s="291"/>
    </row>
    <row r="38" spans="1:5" x14ac:dyDescent="0.25">
      <c r="A38" s="280"/>
      <c r="B38" s="291"/>
      <c r="C38" s="290"/>
      <c r="D38" s="291"/>
      <c r="E38" s="291"/>
    </row>
    <row r="39" spans="1:5" x14ac:dyDescent="0.25">
      <c r="A39" s="280"/>
      <c r="B39" s="291"/>
      <c r="C39" s="290"/>
      <c r="D39" s="291"/>
      <c r="E39" s="291"/>
    </row>
    <row r="40" spans="1:5" x14ac:dyDescent="0.25">
      <c r="A40" s="277"/>
      <c r="B40" s="292"/>
      <c r="C40" s="293"/>
      <c r="D40" s="292"/>
      <c r="E40" s="292"/>
    </row>
  </sheetData>
  <mergeCells count="3">
    <mergeCell ref="A2:A3"/>
    <mergeCell ref="B2:B3"/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H32"/>
  <sheetViews>
    <sheetView workbookViewId="0">
      <selection activeCell="A2" sqref="A2:A3"/>
    </sheetView>
  </sheetViews>
  <sheetFormatPr defaultRowHeight="15" x14ac:dyDescent="0.25"/>
  <cols>
    <col min="1" max="1" width="29.7109375" bestFit="1" customWidth="1"/>
    <col min="2" max="2" width="29.140625" customWidth="1"/>
    <col min="3" max="3" width="3.140625" bestFit="1" customWidth="1"/>
    <col min="4" max="4" width="6.85546875" bestFit="1" customWidth="1"/>
    <col min="5" max="5" width="6.28515625" bestFit="1" customWidth="1"/>
    <col min="6" max="6" width="6.85546875" bestFit="1" customWidth="1"/>
    <col min="7" max="7" width="5.5703125" bestFit="1" customWidth="1"/>
    <col min="8" max="8" width="6.85546875" bestFit="1" customWidth="1"/>
  </cols>
  <sheetData>
    <row r="1" spans="1:8" x14ac:dyDescent="0.25">
      <c r="A1" s="770" t="s">
        <v>424</v>
      </c>
      <c r="B1" s="770"/>
      <c r="C1" s="770"/>
      <c r="D1" s="770"/>
      <c r="E1" s="770"/>
      <c r="F1" s="770"/>
      <c r="G1" s="770"/>
      <c r="H1" s="770"/>
    </row>
    <row r="2" spans="1:8" x14ac:dyDescent="0.25">
      <c r="A2" s="771" t="s">
        <v>209</v>
      </c>
      <c r="B2" s="763" t="s">
        <v>210</v>
      </c>
      <c r="C2" s="767" t="s">
        <v>1</v>
      </c>
      <c r="D2" s="297" t="s">
        <v>370</v>
      </c>
      <c r="E2" s="420" t="s">
        <v>369</v>
      </c>
      <c r="F2" s="418"/>
      <c r="G2" s="418"/>
      <c r="H2" s="419"/>
    </row>
    <row r="3" spans="1:8" ht="25.5" x14ac:dyDescent="0.25">
      <c r="A3" s="772"/>
      <c r="B3" s="764"/>
      <c r="C3" s="768"/>
      <c r="D3" s="302" t="s">
        <v>3</v>
      </c>
      <c r="E3" s="421" t="s">
        <v>4</v>
      </c>
      <c r="F3" s="415" t="s">
        <v>5</v>
      </c>
      <c r="G3" s="415" t="s">
        <v>7</v>
      </c>
      <c r="H3" s="416" t="s">
        <v>10</v>
      </c>
    </row>
    <row r="4" spans="1:8" x14ac:dyDescent="0.25">
      <c r="A4" s="294"/>
      <c r="B4" s="294"/>
      <c r="C4" s="187"/>
      <c r="D4" s="298"/>
      <c r="E4" s="203"/>
      <c r="F4" s="186"/>
      <c r="G4" s="295"/>
      <c r="H4" s="299"/>
    </row>
    <row r="5" spans="1:8" x14ac:dyDescent="0.25">
      <c r="A5" s="497" t="s">
        <v>211</v>
      </c>
      <c r="B5" s="498"/>
      <c r="C5" s="499"/>
      <c r="D5" s="500"/>
      <c r="E5" s="501"/>
      <c r="F5" s="502"/>
      <c r="G5" s="502"/>
      <c r="H5" s="503"/>
    </row>
    <row r="6" spans="1:8" x14ac:dyDescent="0.25">
      <c r="A6" s="504"/>
      <c r="B6" s="505"/>
      <c r="C6" s="506"/>
      <c r="D6" s="296"/>
      <c r="E6" s="301"/>
      <c r="F6" s="414"/>
      <c r="G6" s="414"/>
      <c r="H6" s="300"/>
    </row>
    <row r="7" spans="1:8" x14ac:dyDescent="0.25">
      <c r="A7" s="504" t="s">
        <v>212</v>
      </c>
      <c r="B7" s="505" t="s">
        <v>213</v>
      </c>
      <c r="C7" s="506"/>
      <c r="D7" s="296">
        <v>0</v>
      </c>
      <c r="E7" s="301">
        <v>2.7153024343684461E-2</v>
      </c>
      <c r="F7" s="414">
        <v>0</v>
      </c>
      <c r="G7" s="414">
        <v>0</v>
      </c>
      <c r="H7" s="300">
        <v>4.0227817421965864E-2</v>
      </c>
    </row>
    <row r="8" spans="1:8" ht="25.5" x14ac:dyDescent="0.25">
      <c r="A8" s="504" t="s">
        <v>214</v>
      </c>
      <c r="B8" s="505" t="s">
        <v>215</v>
      </c>
      <c r="C8" s="506"/>
      <c r="D8" s="296">
        <v>0</v>
      </c>
      <c r="E8" s="301">
        <v>0</v>
      </c>
      <c r="F8" s="414">
        <v>0</v>
      </c>
      <c r="G8" s="414">
        <v>0</v>
      </c>
      <c r="H8" s="300">
        <v>0</v>
      </c>
    </row>
    <row r="9" spans="1:8" x14ac:dyDescent="0.25">
      <c r="A9" s="507" t="s">
        <v>216</v>
      </c>
      <c r="B9" s="505"/>
      <c r="C9" s="506"/>
      <c r="D9" s="296"/>
      <c r="E9" s="301"/>
      <c r="F9" s="414"/>
      <c r="G9" s="414"/>
      <c r="H9" s="300"/>
    </row>
    <row r="10" spans="1:8" ht="25.5" x14ac:dyDescent="0.25">
      <c r="A10" s="504" t="s">
        <v>217</v>
      </c>
      <c r="B10" s="505" t="s">
        <v>218</v>
      </c>
      <c r="C10" s="506"/>
      <c r="D10" s="296">
        <v>0</v>
      </c>
      <c r="E10" s="301">
        <v>2.716066836488416E-2</v>
      </c>
      <c r="F10" s="414">
        <v>0</v>
      </c>
      <c r="G10" s="414">
        <v>0.16334644976129339</v>
      </c>
      <c r="H10" s="300">
        <v>0</v>
      </c>
    </row>
    <row r="11" spans="1:8" x14ac:dyDescent="0.25">
      <c r="A11" s="504" t="s">
        <v>219</v>
      </c>
      <c r="B11" s="505" t="s">
        <v>220</v>
      </c>
      <c r="C11" s="506"/>
      <c r="D11" s="296">
        <v>0</v>
      </c>
      <c r="E11" s="301">
        <v>0</v>
      </c>
      <c r="F11" s="414">
        <v>0</v>
      </c>
      <c r="G11" s="414">
        <v>0</v>
      </c>
      <c r="H11" s="300">
        <v>0</v>
      </c>
    </row>
    <row r="12" spans="1:8" x14ac:dyDescent="0.25">
      <c r="A12" s="507" t="s">
        <v>221</v>
      </c>
      <c r="B12" s="505"/>
      <c r="C12" s="506"/>
      <c r="D12" s="296"/>
      <c r="E12" s="301"/>
      <c r="F12" s="414"/>
      <c r="G12" s="414"/>
      <c r="H12" s="300"/>
    </row>
    <row r="13" spans="1:8" x14ac:dyDescent="0.25">
      <c r="A13" s="504" t="s">
        <v>222</v>
      </c>
      <c r="B13" s="505" t="s">
        <v>223</v>
      </c>
      <c r="C13" s="417">
        <v>1</v>
      </c>
      <c r="D13" s="296">
        <v>0</v>
      </c>
      <c r="E13" s="301">
        <v>5.1560880040704538</v>
      </c>
      <c r="F13" s="414">
        <v>0</v>
      </c>
      <c r="G13" s="414">
        <v>0.83180442382428599</v>
      </c>
      <c r="H13" s="300">
        <v>0</v>
      </c>
    </row>
    <row r="14" spans="1:8" x14ac:dyDescent="0.25">
      <c r="A14" s="504" t="s">
        <v>224</v>
      </c>
      <c r="B14" s="505" t="s">
        <v>225</v>
      </c>
      <c r="C14" s="506"/>
      <c r="D14" s="296">
        <v>0</v>
      </c>
      <c r="E14" s="301">
        <v>0.6616312680033597</v>
      </c>
      <c r="F14" s="414">
        <v>0</v>
      </c>
      <c r="G14" s="414">
        <v>1.235185369175084E-4</v>
      </c>
      <c r="H14" s="300">
        <v>0</v>
      </c>
    </row>
    <row r="15" spans="1:8" x14ac:dyDescent="0.25">
      <c r="A15" s="507" t="s">
        <v>226</v>
      </c>
      <c r="B15" s="505"/>
      <c r="C15" s="506"/>
      <c r="D15" s="296"/>
      <c r="E15" s="301"/>
      <c r="F15" s="414"/>
      <c r="G15" s="414"/>
      <c r="H15" s="300"/>
    </row>
    <row r="16" spans="1:8" ht="25.5" x14ac:dyDescent="0.25">
      <c r="A16" s="504" t="s">
        <v>227</v>
      </c>
      <c r="B16" s="505" t="s">
        <v>228</v>
      </c>
      <c r="C16" s="506"/>
      <c r="D16" s="296"/>
      <c r="E16" s="301"/>
      <c r="F16" s="414"/>
      <c r="G16" s="414"/>
      <c r="H16" s="300"/>
    </row>
    <row r="17" spans="1:8" x14ac:dyDescent="0.25">
      <c r="A17" s="504" t="s">
        <v>229</v>
      </c>
      <c r="B17" s="505" t="s">
        <v>230</v>
      </c>
      <c r="C17" s="506"/>
      <c r="D17" s="296">
        <v>0</v>
      </c>
      <c r="E17" s="301">
        <v>0.10711336992913656</v>
      </c>
      <c r="F17" s="414">
        <v>0</v>
      </c>
      <c r="G17" s="414">
        <v>2.8210298254104518</v>
      </c>
      <c r="H17" s="300">
        <v>0</v>
      </c>
    </row>
    <row r="18" spans="1:8" ht="25.5" x14ac:dyDescent="0.25">
      <c r="A18" s="504" t="s">
        <v>231</v>
      </c>
      <c r="B18" s="505" t="s">
        <v>232</v>
      </c>
      <c r="C18" s="506"/>
      <c r="D18" s="303">
        <v>0</v>
      </c>
      <c r="E18" s="304">
        <v>0</v>
      </c>
      <c r="F18" s="305">
        <v>0</v>
      </c>
      <c r="G18" s="305">
        <v>0</v>
      </c>
      <c r="H18" s="306">
        <v>0</v>
      </c>
    </row>
    <row r="19" spans="1:8" x14ac:dyDescent="0.25">
      <c r="A19" s="507" t="s">
        <v>233</v>
      </c>
      <c r="B19" s="505"/>
      <c r="C19" s="506"/>
      <c r="D19" s="296"/>
      <c r="E19" s="301"/>
      <c r="F19" s="414"/>
      <c r="G19" s="414"/>
      <c r="H19" s="300"/>
    </row>
    <row r="20" spans="1:8" ht="25.5" x14ac:dyDescent="0.25">
      <c r="A20" s="504" t="s">
        <v>234</v>
      </c>
      <c r="B20" s="505" t="s">
        <v>235</v>
      </c>
      <c r="C20" s="506"/>
      <c r="D20" s="508">
        <v>0</v>
      </c>
      <c r="E20" s="509">
        <v>0</v>
      </c>
      <c r="F20" s="510">
        <v>0</v>
      </c>
      <c r="G20" s="510">
        <v>0</v>
      </c>
      <c r="H20" s="511">
        <v>0</v>
      </c>
    </row>
    <row r="21" spans="1:8" x14ac:dyDescent="0.25">
      <c r="A21" s="507" t="s">
        <v>236</v>
      </c>
      <c r="B21" s="505"/>
      <c r="C21" s="506"/>
      <c r="D21" s="296"/>
      <c r="E21" s="301"/>
      <c r="F21" s="414"/>
      <c r="G21" s="414"/>
      <c r="H21" s="300"/>
    </row>
    <row r="22" spans="1:8" x14ac:dyDescent="0.25">
      <c r="A22" s="504" t="s">
        <v>237</v>
      </c>
      <c r="B22" s="505" t="s">
        <v>238</v>
      </c>
      <c r="C22" s="506"/>
      <c r="D22" s="296"/>
      <c r="E22" s="301"/>
      <c r="F22" s="414"/>
      <c r="G22" s="414"/>
      <c r="H22" s="300"/>
    </row>
    <row r="23" spans="1:8" x14ac:dyDescent="0.25">
      <c r="A23" s="507" t="s">
        <v>239</v>
      </c>
      <c r="B23" s="505"/>
      <c r="C23" s="506"/>
      <c r="D23" s="296"/>
      <c r="E23" s="301"/>
      <c r="F23" s="414"/>
      <c r="G23" s="414"/>
      <c r="H23" s="300"/>
    </row>
    <row r="24" spans="1:8" ht="25.5" x14ac:dyDescent="0.25">
      <c r="A24" s="504" t="s">
        <v>240</v>
      </c>
      <c r="B24" s="307" t="s">
        <v>241</v>
      </c>
      <c r="C24" s="512">
        <v>2</v>
      </c>
      <c r="D24" s="508">
        <v>0</v>
      </c>
      <c r="E24" s="509">
        <v>0</v>
      </c>
      <c r="F24" s="510">
        <v>0</v>
      </c>
      <c r="G24" s="510">
        <v>0</v>
      </c>
      <c r="H24" s="511">
        <v>0</v>
      </c>
    </row>
    <row r="25" spans="1:8" ht="38.25" x14ac:dyDescent="0.25">
      <c r="A25" s="504" t="s">
        <v>242</v>
      </c>
      <c r="B25" s="307" t="s">
        <v>243</v>
      </c>
      <c r="C25" s="512">
        <v>2</v>
      </c>
      <c r="D25" s="508">
        <v>0</v>
      </c>
      <c r="E25" s="509">
        <v>0</v>
      </c>
      <c r="F25" s="510">
        <v>0</v>
      </c>
      <c r="G25" s="510">
        <v>0</v>
      </c>
      <c r="H25" s="511">
        <v>0</v>
      </c>
    </row>
    <row r="26" spans="1:8" ht="25.5" x14ac:dyDescent="0.25">
      <c r="A26" s="504" t="s">
        <v>61</v>
      </c>
      <c r="B26" s="505" t="s">
        <v>244</v>
      </c>
      <c r="C26" s="506"/>
      <c r="D26" s="296">
        <v>0</v>
      </c>
      <c r="E26" s="301">
        <v>0.39883565052586734</v>
      </c>
      <c r="F26" s="414">
        <v>0</v>
      </c>
      <c r="G26" s="414">
        <v>0.23100817403179105</v>
      </c>
      <c r="H26" s="300">
        <v>1.112374847091582</v>
      </c>
    </row>
    <row r="27" spans="1:8" x14ac:dyDescent="0.25">
      <c r="A27" s="504" t="s">
        <v>245</v>
      </c>
      <c r="B27" s="505" t="s">
        <v>246</v>
      </c>
      <c r="C27" s="506"/>
      <c r="D27" s="296">
        <v>0</v>
      </c>
      <c r="E27" s="301">
        <v>0</v>
      </c>
      <c r="F27" s="414">
        <v>0</v>
      </c>
      <c r="G27" s="414">
        <v>0</v>
      </c>
      <c r="H27" s="300">
        <v>0</v>
      </c>
    </row>
    <row r="28" spans="1:8" x14ac:dyDescent="0.25">
      <c r="A28" s="504" t="s">
        <v>247</v>
      </c>
      <c r="B28" s="505" t="s">
        <v>248</v>
      </c>
      <c r="C28" s="506"/>
      <c r="D28" s="296">
        <v>0</v>
      </c>
      <c r="E28" s="301">
        <v>2.715227151901849E-2</v>
      </c>
      <c r="F28" s="414">
        <v>0</v>
      </c>
      <c r="G28" s="414">
        <v>0</v>
      </c>
      <c r="H28" s="300">
        <v>0.10086859759278366</v>
      </c>
    </row>
    <row r="29" spans="1:8" x14ac:dyDescent="0.25">
      <c r="A29" s="513" t="s">
        <v>249</v>
      </c>
      <c r="B29" s="514"/>
      <c r="C29" s="515"/>
      <c r="D29" s="296"/>
      <c r="E29" s="301"/>
      <c r="F29" s="414"/>
      <c r="G29" s="414"/>
      <c r="H29" s="300"/>
    </row>
    <row r="30" spans="1:8" ht="38.25" x14ac:dyDescent="0.25">
      <c r="A30" s="504" t="s">
        <v>250</v>
      </c>
      <c r="B30" s="505" t="s">
        <v>251</v>
      </c>
      <c r="C30" s="506"/>
      <c r="D30" s="508"/>
      <c r="E30" s="509"/>
      <c r="F30" s="510"/>
      <c r="G30" s="510"/>
      <c r="H30" s="511"/>
    </row>
    <row r="31" spans="1:8" ht="25.5" x14ac:dyDescent="0.25">
      <c r="A31" s="504" t="s">
        <v>252</v>
      </c>
      <c r="B31" s="505" t="s">
        <v>253</v>
      </c>
      <c r="C31" s="506"/>
      <c r="D31" s="508"/>
      <c r="E31" s="509"/>
      <c r="F31" s="510"/>
      <c r="G31" s="510"/>
      <c r="H31" s="511"/>
    </row>
    <row r="32" spans="1:8" ht="25.5" x14ac:dyDescent="0.25">
      <c r="A32" s="516" t="s">
        <v>254</v>
      </c>
      <c r="B32" s="517" t="s">
        <v>255</v>
      </c>
      <c r="C32" s="518"/>
      <c r="D32" s="519"/>
      <c r="E32" s="520"/>
      <c r="F32" s="521"/>
      <c r="G32" s="521"/>
      <c r="H32" s="522"/>
    </row>
  </sheetData>
  <mergeCells count="4">
    <mergeCell ref="A2:A3"/>
    <mergeCell ref="B2:B3"/>
    <mergeCell ref="C2:C3"/>
    <mergeCell ref="A1:H1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P27"/>
  <sheetViews>
    <sheetView zoomScaleNormal="100" workbookViewId="0">
      <selection activeCell="C16" sqref="C16"/>
    </sheetView>
  </sheetViews>
  <sheetFormatPr defaultRowHeight="15" x14ac:dyDescent="0.25"/>
  <cols>
    <col min="1" max="1" width="31.140625" bestFit="1" customWidth="1"/>
    <col min="3" max="3" width="8" customWidth="1"/>
    <col min="4" max="4" width="7.85546875" bestFit="1" customWidth="1"/>
    <col min="5" max="5" width="9.140625" customWidth="1"/>
    <col min="6" max="8" width="8.5703125" bestFit="1" customWidth="1"/>
    <col min="9" max="9" width="9" bestFit="1" customWidth="1"/>
    <col min="10" max="10" width="9.140625" bestFit="1" customWidth="1"/>
    <col min="11" max="11" width="12.28515625" customWidth="1"/>
    <col min="12" max="12" width="6.5703125" bestFit="1" customWidth="1"/>
    <col min="13" max="13" width="9.28515625" customWidth="1"/>
    <col min="14" max="14" width="13.28515625" bestFit="1" customWidth="1"/>
    <col min="16" max="16" width="13.28515625" bestFit="1" customWidth="1"/>
  </cols>
  <sheetData>
    <row r="1" spans="1:14" x14ac:dyDescent="0.25">
      <c r="A1" s="773" t="s">
        <v>425</v>
      </c>
      <c r="B1" s="773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09"/>
    </row>
    <row r="2" spans="1:14" ht="15" customHeight="1" x14ac:dyDescent="0.25">
      <c r="A2" s="490" t="str">
        <f>desc</f>
        <v>Description</v>
      </c>
      <c r="B2" s="710"/>
      <c r="C2" s="775" t="str">
        <f>Head2</f>
        <v>Budget Year 2013/14</v>
      </c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7"/>
    </row>
    <row r="3" spans="1:14" ht="25.5" customHeight="1" x14ac:dyDescent="0.25">
      <c r="A3" s="711" t="s">
        <v>11</v>
      </c>
      <c r="B3" s="707" t="s">
        <v>304</v>
      </c>
      <c r="C3" s="712" t="s">
        <v>84</v>
      </c>
      <c r="D3" s="713" t="s">
        <v>85</v>
      </c>
      <c r="E3" s="713" t="s">
        <v>86</v>
      </c>
      <c r="F3" s="713" t="s">
        <v>87</v>
      </c>
      <c r="G3" s="713" t="s">
        <v>88</v>
      </c>
      <c r="H3" s="713" t="s">
        <v>89</v>
      </c>
      <c r="I3" s="713" t="s">
        <v>90</v>
      </c>
      <c r="J3" s="714" t="s">
        <v>91</v>
      </c>
      <c r="K3" s="715" t="s">
        <v>92</v>
      </c>
      <c r="L3" s="715" t="s">
        <v>380</v>
      </c>
      <c r="M3" s="715" t="s">
        <v>381</v>
      </c>
      <c r="N3" s="715" t="s">
        <v>382</v>
      </c>
    </row>
    <row r="4" spans="1:14" x14ac:dyDescent="0.25">
      <c r="A4" s="716" t="s">
        <v>383</v>
      </c>
      <c r="B4" s="717"/>
      <c r="C4" s="718">
        <v>-260189.9</v>
      </c>
      <c r="D4" s="719">
        <v>640753.06999999995</v>
      </c>
      <c r="E4" s="719">
        <v>2279999.59</v>
      </c>
      <c r="F4" s="719">
        <v>629065</v>
      </c>
      <c r="G4" s="719">
        <v>698721.1</v>
      </c>
      <c r="H4" s="719">
        <v>668996.42000000004</v>
      </c>
      <c r="I4" s="719">
        <v>7263926.4900000002</v>
      </c>
      <c r="J4" s="720">
        <v>26441749.719999999</v>
      </c>
      <c r="K4" s="721"/>
      <c r="L4" s="721"/>
      <c r="M4" s="722"/>
      <c r="N4" s="722"/>
    </row>
    <row r="5" spans="1:14" x14ac:dyDescent="0.25">
      <c r="A5" s="723" t="s">
        <v>384</v>
      </c>
      <c r="B5" s="717">
        <v>1200</v>
      </c>
      <c r="C5" s="482">
        <v>-282100.86</v>
      </c>
      <c r="D5" s="483">
        <v>232729.59</v>
      </c>
      <c r="E5" s="483">
        <v>88354.06</v>
      </c>
      <c r="F5" s="483">
        <v>78093.789999999994</v>
      </c>
      <c r="G5" s="483">
        <v>95628.19</v>
      </c>
      <c r="H5" s="483">
        <v>103125.15</v>
      </c>
      <c r="I5" s="483">
        <v>687031.39</v>
      </c>
      <c r="J5" s="735">
        <v>2652078.56</v>
      </c>
      <c r="K5" s="491">
        <f>SUM(C5:J5)</f>
        <v>3654939.87</v>
      </c>
      <c r="L5" s="491">
        <f>SUM(F5:J5)</f>
        <v>3615957.08</v>
      </c>
      <c r="M5" s="496">
        <v>0</v>
      </c>
      <c r="N5" s="496">
        <v>0</v>
      </c>
    </row>
    <row r="6" spans="1:14" x14ac:dyDescent="0.25">
      <c r="A6" s="723" t="s">
        <v>385</v>
      </c>
      <c r="B6" s="717">
        <v>1300</v>
      </c>
      <c r="C6" s="482">
        <v>-694740.21</v>
      </c>
      <c r="D6" s="483">
        <v>424706.31</v>
      </c>
      <c r="E6" s="483">
        <v>302095.99</v>
      </c>
      <c r="F6" s="483">
        <v>261096.41</v>
      </c>
      <c r="G6" s="483">
        <v>791294.43</v>
      </c>
      <c r="H6" s="483">
        <v>224244.75</v>
      </c>
      <c r="I6" s="483">
        <v>8140599.5</v>
      </c>
      <c r="J6" s="735">
        <v>11575547.76</v>
      </c>
      <c r="K6" s="491">
        <f>SUM(C6:J6)</f>
        <v>21024844.939999998</v>
      </c>
      <c r="L6" s="491">
        <f t="shared" ref="L6:L12" si="0">SUM(F6:J6)</f>
        <v>20992782.850000001</v>
      </c>
      <c r="M6" s="496">
        <v>0</v>
      </c>
      <c r="N6" s="496">
        <v>0</v>
      </c>
    </row>
    <row r="7" spans="1:14" x14ac:dyDescent="0.25">
      <c r="A7" s="723" t="s">
        <v>386</v>
      </c>
      <c r="B7" s="717">
        <v>1400</v>
      </c>
      <c r="C7" s="482">
        <v>-61632.79</v>
      </c>
      <c r="D7" s="483">
        <v>653925.02</v>
      </c>
      <c r="E7" s="483">
        <v>554277.23</v>
      </c>
      <c r="F7" s="483">
        <v>526857.22</v>
      </c>
      <c r="G7" s="483">
        <v>515738.47</v>
      </c>
      <c r="H7" s="483">
        <v>530656.89</v>
      </c>
      <c r="I7" s="483">
        <v>6973609.0199999996</v>
      </c>
      <c r="J7" s="735">
        <v>30074129.27</v>
      </c>
      <c r="K7" s="491">
        <f t="shared" ref="K7:K13" si="1">SUM(C7:J7)</f>
        <v>39767560.329999998</v>
      </c>
      <c r="L7" s="491">
        <f t="shared" si="0"/>
        <v>38620990.869999997</v>
      </c>
      <c r="M7" s="496">
        <v>0</v>
      </c>
      <c r="N7" s="496">
        <v>0</v>
      </c>
    </row>
    <row r="8" spans="1:14" x14ac:dyDescent="0.25">
      <c r="A8" s="723" t="s">
        <v>387</v>
      </c>
      <c r="B8" s="717">
        <v>1500</v>
      </c>
      <c r="C8" s="482">
        <v>-49830.13</v>
      </c>
      <c r="D8" s="483">
        <v>608078.04</v>
      </c>
      <c r="E8" s="483">
        <v>516339.48</v>
      </c>
      <c r="F8" s="483">
        <v>495913.57</v>
      </c>
      <c r="G8" s="483">
        <v>484674.26</v>
      </c>
      <c r="H8" s="483">
        <v>500974.59</v>
      </c>
      <c r="I8" s="483">
        <v>6572532.2800000003</v>
      </c>
      <c r="J8" s="735">
        <v>30894898.66</v>
      </c>
      <c r="K8" s="491">
        <f t="shared" si="1"/>
        <v>40023580.75</v>
      </c>
      <c r="L8" s="491">
        <f t="shared" si="0"/>
        <v>38948993.359999999</v>
      </c>
      <c r="M8" s="496">
        <v>0</v>
      </c>
      <c r="N8" s="496">
        <v>0</v>
      </c>
    </row>
    <row r="9" spans="1:14" x14ac:dyDescent="0.25">
      <c r="A9" s="723" t="s">
        <v>388</v>
      </c>
      <c r="B9" s="717">
        <v>1600</v>
      </c>
      <c r="C9" s="482">
        <v>-4189.96</v>
      </c>
      <c r="D9" s="483">
        <v>565944.44999999995</v>
      </c>
      <c r="E9" s="483">
        <v>96387.61</v>
      </c>
      <c r="F9" s="483">
        <v>7814551.6900000004</v>
      </c>
      <c r="G9" s="483">
        <v>73096.59</v>
      </c>
      <c r="H9" s="483">
        <v>73096.59</v>
      </c>
      <c r="I9" s="483">
        <v>1235211.68</v>
      </c>
      <c r="J9" s="735">
        <v>893534.33</v>
      </c>
      <c r="K9" s="491">
        <f t="shared" si="1"/>
        <v>10747632.98</v>
      </c>
      <c r="L9" s="491">
        <f>SUM(F9:J9)</f>
        <v>10089490.880000001</v>
      </c>
      <c r="M9" s="496">
        <v>0</v>
      </c>
      <c r="N9" s="496">
        <v>0</v>
      </c>
    </row>
    <row r="10" spans="1:14" x14ac:dyDescent="0.25">
      <c r="A10" s="723" t="s">
        <v>389</v>
      </c>
      <c r="B10" s="717">
        <v>1700</v>
      </c>
      <c r="C10" s="482">
        <v>4977077.7300000004</v>
      </c>
      <c r="D10" s="483">
        <v>0</v>
      </c>
      <c r="E10" s="483">
        <v>0</v>
      </c>
      <c r="F10" s="483">
        <v>0</v>
      </c>
      <c r="G10" s="483">
        <v>8574949.1400000006</v>
      </c>
      <c r="H10" s="483">
        <v>0</v>
      </c>
      <c r="I10" s="483">
        <v>1133.51</v>
      </c>
      <c r="J10" s="735">
        <v>21282338.09</v>
      </c>
      <c r="K10" s="491">
        <f t="shared" si="1"/>
        <v>34835498.469999999</v>
      </c>
      <c r="L10" s="491">
        <f>SUM(F10:J10)</f>
        <v>29858420.740000002</v>
      </c>
      <c r="M10" s="496">
        <v>0</v>
      </c>
      <c r="N10" s="496">
        <v>0</v>
      </c>
    </row>
    <row r="11" spans="1:14" x14ac:dyDescent="0.25">
      <c r="A11" s="723" t="s">
        <v>390</v>
      </c>
      <c r="B11" s="717">
        <v>1810</v>
      </c>
      <c r="C11" s="482">
        <v>0</v>
      </c>
      <c r="D11" s="483">
        <v>0</v>
      </c>
      <c r="E11" s="483">
        <v>0</v>
      </c>
      <c r="F11" s="483">
        <v>0</v>
      </c>
      <c r="G11" s="483">
        <v>0</v>
      </c>
      <c r="H11" s="483">
        <v>0</v>
      </c>
      <c r="I11" s="483">
        <v>0</v>
      </c>
      <c r="J11" s="735">
        <v>0</v>
      </c>
      <c r="K11" s="491">
        <f t="shared" si="1"/>
        <v>0</v>
      </c>
      <c r="L11" s="491">
        <f t="shared" si="0"/>
        <v>0</v>
      </c>
      <c r="M11" s="496">
        <v>0</v>
      </c>
      <c r="N11" s="496">
        <v>0</v>
      </c>
    </row>
    <row r="12" spans="1:14" x14ac:dyDescent="0.25">
      <c r="A12" s="723" t="s">
        <v>391</v>
      </c>
      <c r="B12" s="717">
        <v>1820</v>
      </c>
      <c r="C12" s="482">
        <v>-114042.97</v>
      </c>
      <c r="D12" s="483">
        <v>25002.46</v>
      </c>
      <c r="E12" s="483">
        <v>20313.919999999998</v>
      </c>
      <c r="F12" s="483">
        <v>11247.96</v>
      </c>
      <c r="G12" s="483">
        <v>11090.54</v>
      </c>
      <c r="H12" s="483">
        <v>11090.54</v>
      </c>
      <c r="I12" s="483">
        <v>88350.06</v>
      </c>
      <c r="J12" s="735">
        <v>448337.4</v>
      </c>
      <c r="K12" s="491">
        <f t="shared" si="1"/>
        <v>501389.91000000003</v>
      </c>
      <c r="L12" s="491">
        <f t="shared" si="0"/>
        <v>570116.5</v>
      </c>
      <c r="M12" s="496">
        <v>0</v>
      </c>
      <c r="N12" s="496">
        <v>0</v>
      </c>
    </row>
    <row r="13" spans="1:14" x14ac:dyDescent="0.25">
      <c r="A13" s="723" t="s">
        <v>116</v>
      </c>
      <c r="B13" s="717">
        <v>1900</v>
      </c>
      <c r="C13" s="482"/>
      <c r="D13" s="483"/>
      <c r="E13" s="483"/>
      <c r="F13" s="483"/>
      <c r="G13" s="483"/>
      <c r="H13" s="483"/>
      <c r="I13" s="483"/>
      <c r="J13" s="735"/>
      <c r="K13" s="491">
        <f t="shared" si="1"/>
        <v>0</v>
      </c>
      <c r="L13" s="491">
        <f>SUM(F13:J13)</f>
        <v>0</v>
      </c>
      <c r="M13" s="496">
        <v>0</v>
      </c>
      <c r="N13" s="496">
        <v>0</v>
      </c>
    </row>
    <row r="14" spans="1:14" x14ac:dyDescent="0.25">
      <c r="A14" s="724" t="s">
        <v>392</v>
      </c>
      <c r="B14" s="725">
        <v>2000</v>
      </c>
      <c r="C14" s="736">
        <f t="shared" ref="C14:N14" si="2">SUM(C5:C13)</f>
        <v>3770540.81</v>
      </c>
      <c r="D14" s="737">
        <f t="shared" si="2"/>
        <v>2510385.87</v>
      </c>
      <c r="E14" s="737">
        <f t="shared" si="2"/>
        <v>1577768.29</v>
      </c>
      <c r="F14" s="737">
        <f t="shared" si="2"/>
        <v>9187760.6400000006</v>
      </c>
      <c r="G14" s="737">
        <f t="shared" si="2"/>
        <v>10546471.619999999</v>
      </c>
      <c r="H14" s="737">
        <f t="shared" si="2"/>
        <v>1443188.5100000002</v>
      </c>
      <c r="I14" s="737">
        <f t="shared" si="2"/>
        <v>23698467.440000001</v>
      </c>
      <c r="J14" s="738">
        <f t="shared" si="2"/>
        <v>97820864.070000008</v>
      </c>
      <c r="K14" s="739">
        <f t="shared" si="2"/>
        <v>150555447.25</v>
      </c>
      <c r="L14" s="739">
        <f>SUM(L5:L13)</f>
        <v>142696752.28</v>
      </c>
      <c r="M14" s="733">
        <f t="shared" si="2"/>
        <v>0</v>
      </c>
      <c r="N14" s="733">
        <f t="shared" si="2"/>
        <v>0</v>
      </c>
    </row>
    <row r="15" spans="1:14" x14ac:dyDescent="0.25">
      <c r="A15" s="731" t="s">
        <v>430</v>
      </c>
      <c r="B15" s="732"/>
      <c r="C15" s="747">
        <v>3411000</v>
      </c>
      <c r="D15" s="747">
        <v>2872000</v>
      </c>
      <c r="E15" s="747">
        <v>2428000</v>
      </c>
      <c r="F15" s="747">
        <v>3142000</v>
      </c>
      <c r="G15" s="747">
        <v>10246000</v>
      </c>
      <c r="H15" s="747">
        <v>2223000</v>
      </c>
      <c r="I15" s="747">
        <v>32034000</v>
      </c>
      <c r="J15" s="747">
        <v>79707000</v>
      </c>
      <c r="K15" s="740">
        <f>SUM(C15:J15)</f>
        <v>136063000</v>
      </c>
      <c r="L15" s="741">
        <f>SUM(F15:J15)</f>
        <v>127352000</v>
      </c>
      <c r="M15" s="742"/>
      <c r="N15" s="743"/>
    </row>
    <row r="16" spans="1:14" x14ac:dyDescent="0.25">
      <c r="A16" s="716" t="s">
        <v>393</v>
      </c>
      <c r="B16" s="717"/>
      <c r="C16" s="492"/>
      <c r="D16" s="493"/>
      <c r="E16" s="493"/>
      <c r="F16" s="493"/>
      <c r="G16" s="493"/>
      <c r="H16" s="493"/>
      <c r="I16" s="493"/>
      <c r="J16" s="494"/>
      <c r="K16" s="491"/>
      <c r="L16" s="495"/>
      <c r="M16" s="495"/>
      <c r="N16" s="491"/>
    </row>
    <row r="17" spans="1:16" x14ac:dyDescent="0.25">
      <c r="A17" s="723" t="s">
        <v>394</v>
      </c>
      <c r="B17" s="717">
        <v>2200</v>
      </c>
      <c r="C17" s="482">
        <v>1</v>
      </c>
      <c r="D17" s="483">
        <v>121254.98999999999</v>
      </c>
      <c r="E17" s="483">
        <v>140301.30000000002</v>
      </c>
      <c r="F17" s="483">
        <v>14678.744281063256</v>
      </c>
      <c r="G17" s="483">
        <v>98527.495437181788</v>
      </c>
      <c r="H17" s="483">
        <v>13954.375356085744</v>
      </c>
      <c r="I17" s="483">
        <v>153363.618258898</v>
      </c>
      <c r="J17" s="735">
        <v>814865.09666677122</v>
      </c>
      <c r="K17" s="491">
        <f>SUM(C17:J17)</f>
        <v>1356946.62</v>
      </c>
      <c r="L17" s="495">
        <f>SUM(F17:J17)</f>
        <v>1095389.33</v>
      </c>
      <c r="M17" s="496">
        <v>0</v>
      </c>
      <c r="N17" s="744">
        <v>0</v>
      </c>
    </row>
    <row r="18" spans="1:16" x14ac:dyDescent="0.25">
      <c r="A18" s="723" t="s">
        <v>395</v>
      </c>
      <c r="B18" s="717">
        <v>2300</v>
      </c>
      <c r="C18" s="482">
        <v>89757.08</v>
      </c>
      <c r="D18" s="483">
        <v>424878.93</v>
      </c>
      <c r="E18" s="483">
        <v>192962.36</v>
      </c>
      <c r="F18" s="483">
        <v>170524.89999999997</v>
      </c>
      <c r="G18" s="483">
        <v>436095.94999999995</v>
      </c>
      <c r="H18" s="483">
        <v>154121.97</v>
      </c>
      <c r="I18" s="483">
        <v>1189877.76</v>
      </c>
      <c r="J18" s="735">
        <v>4040032.06</v>
      </c>
      <c r="K18" s="491">
        <f>SUM(C18:J18)</f>
        <v>6698251.0099999998</v>
      </c>
      <c r="L18" s="495">
        <f>SUM(F18:J18)</f>
        <v>5990652.6399999997</v>
      </c>
      <c r="M18" s="496">
        <v>0</v>
      </c>
      <c r="N18" s="744">
        <v>0</v>
      </c>
    </row>
    <row r="19" spans="1:16" x14ac:dyDescent="0.25">
      <c r="A19" s="723" t="s">
        <v>351</v>
      </c>
      <c r="B19" s="717">
        <v>2400</v>
      </c>
      <c r="C19" s="482">
        <v>3654115.35</v>
      </c>
      <c r="D19" s="483">
        <v>2585533.59</v>
      </c>
      <c r="E19" s="483">
        <v>3512644.1300000004</v>
      </c>
      <c r="F19" s="483">
        <v>9513313.9000000004</v>
      </c>
      <c r="G19" s="483">
        <v>10410119.899999999</v>
      </c>
      <c r="H19" s="483">
        <v>1845571.2999999998</v>
      </c>
      <c r="I19" s="483">
        <v>27786305.109999999</v>
      </c>
      <c r="J19" s="735">
        <v>117170523.91</v>
      </c>
      <c r="K19" s="491">
        <f>SUM(C19:J19)</f>
        <v>176478127.19</v>
      </c>
      <c r="L19" s="495">
        <f>SUM(F19:J19)</f>
        <v>166725834.12</v>
      </c>
      <c r="M19" s="496">
        <v>0</v>
      </c>
      <c r="N19" s="744">
        <v>0</v>
      </c>
      <c r="P19" s="576"/>
    </row>
    <row r="20" spans="1:16" x14ac:dyDescent="0.25">
      <c r="A20" s="723" t="s">
        <v>116</v>
      </c>
      <c r="B20" s="717">
        <v>2500</v>
      </c>
      <c r="C20" s="482">
        <v>792.71000000042841</v>
      </c>
      <c r="D20" s="483">
        <v>19471.430000000633</v>
      </c>
      <c r="E20" s="483">
        <v>11860.08999999892</v>
      </c>
      <c r="F20" s="483">
        <v>118308.09571893699</v>
      </c>
      <c r="G20" s="483">
        <v>300449.37456281856</v>
      </c>
      <c r="H20" s="483">
        <v>98537.284643914551</v>
      </c>
      <c r="I20" s="483">
        <v>1832847.4417411014</v>
      </c>
      <c r="J20" s="735">
        <v>2237192.7233332396</v>
      </c>
      <c r="K20" s="491">
        <f>SUM(C20:J20)</f>
        <v>4619459.1500000115</v>
      </c>
      <c r="L20" s="495">
        <f>SUM(F20:J20)</f>
        <v>4587334.9200000111</v>
      </c>
      <c r="M20" s="496">
        <v>0</v>
      </c>
      <c r="N20" s="745">
        <v>0</v>
      </c>
    </row>
    <row r="21" spans="1:16" x14ac:dyDescent="0.25">
      <c r="A21" s="724" t="s">
        <v>396</v>
      </c>
      <c r="B21" s="725">
        <v>2600</v>
      </c>
      <c r="C21" s="726">
        <f t="shared" ref="C21:I21" si="3">SUM(C17:C20)</f>
        <v>3744666.1400000006</v>
      </c>
      <c r="D21" s="727">
        <f t="shared" si="3"/>
        <v>3151138.9400000004</v>
      </c>
      <c r="E21" s="727">
        <f t="shared" si="3"/>
        <v>3857767.8799999994</v>
      </c>
      <c r="F21" s="727">
        <f t="shared" si="3"/>
        <v>9816825.6400000006</v>
      </c>
      <c r="G21" s="727">
        <f t="shared" si="3"/>
        <v>11245192.719999999</v>
      </c>
      <c r="H21" s="727">
        <f t="shared" si="3"/>
        <v>2112184.9300000002</v>
      </c>
      <c r="I21" s="727">
        <f t="shared" si="3"/>
        <v>30962393.93</v>
      </c>
      <c r="J21" s="728">
        <f>SUM(J17:J20)</f>
        <v>124262613.79000001</v>
      </c>
      <c r="K21" s="729">
        <f>SUM(K17:K20)</f>
        <v>189152783.97</v>
      </c>
      <c r="L21" s="733">
        <f>SUM(L17:L20)</f>
        <v>178399211.01000002</v>
      </c>
      <c r="M21" s="730">
        <f>SUM(M17:M20)</f>
        <v>0</v>
      </c>
      <c r="N21" s="734">
        <f>SUM(N17:N20)</f>
        <v>0</v>
      </c>
    </row>
    <row r="22" spans="1:16" ht="15.75" thickBot="1" x14ac:dyDescent="0.3"/>
    <row r="23" spans="1:16" x14ac:dyDescent="0.25">
      <c r="A23" s="559" t="s">
        <v>422</v>
      </c>
      <c r="B23" s="560"/>
      <c r="C23" s="560"/>
      <c r="D23" s="560"/>
      <c r="E23" s="560"/>
      <c r="F23" s="560"/>
      <c r="G23" s="560"/>
      <c r="H23" s="560"/>
      <c r="I23" s="560"/>
      <c r="J23" s="560"/>
      <c r="K23" s="565">
        <f>K14</f>
        <v>150555447.25</v>
      </c>
    </row>
    <row r="24" spans="1:16" x14ac:dyDescent="0.25">
      <c r="A24" s="561" t="s">
        <v>355</v>
      </c>
      <c r="B24" s="562"/>
      <c r="C24" s="562"/>
      <c r="D24" s="562"/>
      <c r="E24" s="562"/>
      <c r="F24" s="562"/>
      <c r="G24" s="562"/>
      <c r="H24" s="562"/>
      <c r="I24" s="562"/>
      <c r="J24" s="562"/>
      <c r="K24" s="566">
        <f>+K23-K25</f>
        <v>14492447.25</v>
      </c>
    </row>
    <row r="25" spans="1:16" ht="15.75" thickBot="1" x14ac:dyDescent="0.3">
      <c r="A25" s="563" t="s">
        <v>423</v>
      </c>
      <c r="B25" s="564"/>
      <c r="C25" s="564"/>
      <c r="D25" s="564"/>
      <c r="E25" s="564"/>
      <c r="F25" s="564"/>
      <c r="G25" s="564"/>
      <c r="H25" s="564"/>
      <c r="I25" s="564"/>
      <c r="J25" s="564"/>
      <c r="K25" s="567">
        <f>K15</f>
        <v>136063000</v>
      </c>
      <c r="N25" s="571"/>
    </row>
    <row r="26" spans="1:16" x14ac:dyDescent="0.25">
      <c r="N26" s="578"/>
    </row>
    <row r="27" spans="1:16" x14ac:dyDescent="0.25">
      <c r="N27" s="579"/>
    </row>
  </sheetData>
  <mergeCells count="2">
    <mergeCell ref="A1:M1"/>
    <mergeCell ref="C2:N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C1 Sum</vt:lpstr>
      <vt:lpstr>C4 Fin Perf</vt:lpstr>
      <vt:lpstr>Graphics</vt:lpstr>
      <vt:lpstr>C5 - CAPEX</vt:lpstr>
      <vt:lpstr>C6 - FIN POS</vt:lpstr>
      <vt:lpstr>C7 - CASHFLOW</vt:lpstr>
      <vt:lpstr>Variance Analysis</vt:lpstr>
      <vt:lpstr>Indicators</vt:lpstr>
      <vt:lpstr>Debtors</vt:lpstr>
      <vt:lpstr>Creditors</vt:lpstr>
      <vt:lpstr>Investments</vt:lpstr>
      <vt:lpstr>Grants Received</vt:lpstr>
      <vt:lpstr>Grants Expenditure - dnt print</vt:lpstr>
      <vt:lpstr>Capex Trend</vt:lpstr>
      <vt:lpstr>'C1 Sum'!Print_Area</vt:lpstr>
      <vt:lpstr>'C4 Fin Perf'!Print_Area</vt:lpstr>
      <vt:lpstr>'C5 - CAPEX'!Print_Area</vt:lpstr>
      <vt:lpstr>'C6 - FIN POS'!Print_Area</vt:lpstr>
      <vt:lpstr>'C7 - CASHFLOW'!Print_Area</vt:lpstr>
      <vt:lpstr>'Capex Trend'!Print_Area</vt:lpstr>
      <vt:lpstr>Creditors!Print_Area</vt:lpstr>
      <vt:lpstr>Debtors!Print_Area</vt:lpstr>
      <vt:lpstr>'Grants Expenditure - dnt print'!Print_Area</vt:lpstr>
      <vt:lpstr>'Grants Received'!Print_Area</vt:lpstr>
      <vt:lpstr>Graphics!Print_Area</vt:lpstr>
      <vt:lpstr>Indicators!Print_Area</vt:lpstr>
      <vt:lpstr>Investments!Print_Area</vt:lpstr>
      <vt:lpstr>'Variance Analysis'!Print_Area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PLM</dc:creator>
  <cp:lastModifiedBy>MD Nkabinde</cp:lastModifiedBy>
  <cp:lastPrinted>2016-10-27T08:49:03Z</cp:lastPrinted>
  <dcterms:created xsi:type="dcterms:W3CDTF">2013-09-10T18:19:32Z</dcterms:created>
  <dcterms:modified xsi:type="dcterms:W3CDTF">2017-01-17T14:32:05Z</dcterms:modified>
</cp:coreProperties>
</file>